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Toria\Desktop\Desktop\"/>
    </mc:Choice>
  </mc:AlternateContent>
  <bookViews>
    <workbookView xWindow="0" yWindow="0" windowWidth="20490" windowHeight="7650" tabRatio="962" firstSheet="1" activeTab="6"/>
  </bookViews>
  <sheets>
    <sheet name="Budget Ordinances" sheetId="31729" r:id="rId1"/>
    <sheet name="Title Page" sheetId="3" r:id="rId2"/>
    <sheet name=" Table of contents" sheetId="31714" r:id="rId3"/>
    <sheet name=" Budget message" sheetId="31731" r:id="rId4"/>
    <sheet name="Consolidated Budget" sheetId="4" r:id="rId5"/>
    <sheet name="Capital Outlay Budget Request" sheetId="31717" r:id="rId6"/>
    <sheet name="General Fund" sheetId="6" r:id="rId7"/>
    <sheet name="Sales Tax Funds" sheetId="7" r:id="rId8"/>
    <sheet name="Debt Service Funds" sheetId="8" r:id="rId9"/>
    <sheet name="Capital Projects Fund" sheetId="9" r:id="rId10"/>
    <sheet name="Utility Fund" sheetId="31712" r:id="rId11"/>
    <sheet name="Utility Fund - analysis by dept" sheetId="1488" r:id="rId12"/>
    <sheet name="Estimating Schedules-Divider " sheetId="31726" r:id="rId13"/>
    <sheet name="Estimating Schedule - GF" sheetId="31720" r:id="rId14"/>
    <sheet name="Estimating Schedule - SRF" sheetId="31721" r:id="rId15"/>
    <sheet name="Estimating Schedule - DSF" sheetId="31722" r:id="rId16"/>
    <sheet name="Estimating Schedule - CPF" sheetId="31723" r:id="rId17"/>
    <sheet name="Estimating Schedule - UF" sheetId="31725" r:id="rId18"/>
  </sheets>
  <externalReferences>
    <externalReference r:id="rId19"/>
    <externalReference r:id="rId20"/>
    <externalReference r:id="rId21"/>
    <externalReference r:id="rId22"/>
    <externalReference r:id="rId23"/>
  </externalReferences>
  <definedNames>
    <definedName name="\E" localSheetId="3">#REF!</definedName>
    <definedName name="\E" localSheetId="0">'Budget Ordinances'!#REF!</definedName>
    <definedName name="\E">#REF!</definedName>
    <definedName name="__3" localSheetId="3">'[1]Title Page:General Fund'!$A$2:$J$703</definedName>
    <definedName name="__3">'[2]Title Page:General Fund'!$A$2:$J$703</definedName>
    <definedName name="_1" localSheetId="3">' Budget message'!#REF!</definedName>
    <definedName name="_1" localSheetId="2">' Table of contents'!#REF!</definedName>
    <definedName name="_1" localSheetId="0">'Budget Ordinances'!#REF!</definedName>
    <definedName name="_1" localSheetId="5">#REF!</definedName>
    <definedName name="_1">#REF!</definedName>
    <definedName name="_2" localSheetId="3">#REF!</definedName>
    <definedName name="_2" localSheetId="2">#REF!</definedName>
    <definedName name="_2" localSheetId="0">'[3]Publication :Consolidated Budget'!$A$2:$Q$392</definedName>
    <definedName name="_2" localSheetId="5">'[4]Title Page: Budget message'!$A$2:$Q$392</definedName>
    <definedName name="_2">'Title Page:Consolidated Budget'!$A$2:$Q$392</definedName>
    <definedName name="_3" localSheetId="3">#REF!</definedName>
    <definedName name="_3" localSheetId="2">#REF!</definedName>
    <definedName name="_3" localSheetId="0">'Budget Ordinances'!$B$3:$I$269</definedName>
    <definedName name="_3" localSheetId="5">'[4]Title Page:General Fund'!$A$2:$J$703</definedName>
    <definedName name="_3" localSheetId="13">#REF!</definedName>
    <definedName name="_3">'Title Page:General Fund'!$A$2:$J$703</definedName>
    <definedName name="_E" localSheetId="0">'Budget Ordinances'!#REF!</definedName>
    <definedName name="_E">#REF!</definedName>
    <definedName name="_Fill" localSheetId="0" hidden="1">'Budget Ordinances'!#REF!</definedName>
    <definedName name="_Fill" hidden="1">#REF!</definedName>
    <definedName name="_xlnm.Print_Area" localSheetId="3">' Budget message'!$A$1:$C$44</definedName>
    <definedName name="_xlnm.Print_Area" localSheetId="2">' Table of contents'!$A$1:$H$40</definedName>
    <definedName name="_xlnm.Print_Area" localSheetId="0">'Budget Ordinances'!$A$1:$H$120</definedName>
    <definedName name="_xlnm.Print_Area" localSheetId="5">'Capital Outlay Budget Request'!$A$1:$L$18</definedName>
    <definedName name="_xlnm.Print_Area" localSheetId="9">'Capital Projects Fund'!$B$1:$I$23</definedName>
    <definedName name="_xlnm.Print_Area" localSheetId="4">'Consolidated Budget'!$A$1:$F$58</definedName>
    <definedName name="_xlnm.Print_Area" localSheetId="8">'Debt Service Funds'!$A$1:$Q$33</definedName>
    <definedName name="_xlnm.Print_Area" localSheetId="16">'Estimating Schedule - CPF'!$B$1:$J$24</definedName>
    <definedName name="_xlnm.Print_Area" localSheetId="15">'Estimating Schedule - DSF'!$A$1:$M$41</definedName>
    <definedName name="_xlnm.Print_Area" localSheetId="13">'Estimating Schedule - GF'!$A$1:$K$200</definedName>
    <definedName name="_xlnm.Print_Area" localSheetId="14">'Estimating Schedule - SRF'!$A$1:$W$53</definedName>
    <definedName name="_xlnm.Print_Area" localSheetId="17">'Estimating Schedule - UF'!$A$1:$AI$46</definedName>
    <definedName name="_xlnm.Print_Area" localSheetId="6">'General Fund'!$A$1:$I$197</definedName>
    <definedName name="_xlnm.Print_Area" localSheetId="7">'Sales Tax Funds'!$A$1:$T$58</definedName>
    <definedName name="_xlnm.Print_Area" localSheetId="1">'Title Page'!$A$1:$C$33</definedName>
    <definedName name="_xlnm.Print_Area" localSheetId="10">'Utility Fund'!$A$1:$H$67</definedName>
    <definedName name="_xlnm.Print_Area" localSheetId="11">'Utility Fund - analysis by dept'!$A$1:$AG$46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7" i="7" l="1"/>
  <c r="B48" i="4" s="1"/>
  <c r="F47" i="7"/>
  <c r="M26" i="1488"/>
  <c r="G25" i="1488"/>
  <c r="G15" i="1488"/>
  <c r="B49" i="4"/>
  <c r="N28" i="4"/>
  <c r="L29" i="4"/>
  <c r="F28" i="4"/>
  <c r="B28" i="4"/>
  <c r="G47" i="1488" l="1"/>
  <c r="E47" i="1488"/>
  <c r="C47" i="1488"/>
  <c r="J38" i="6" l="1"/>
  <c r="F34" i="4" l="1"/>
  <c r="D34" i="4"/>
  <c r="E130" i="31720"/>
  <c r="E190" i="31720"/>
  <c r="F25" i="31725"/>
  <c r="D25" i="31725"/>
  <c r="AJ23" i="1488" l="1"/>
  <c r="AH23" i="1488"/>
  <c r="J54" i="31725"/>
  <c r="J56" i="31725" s="1"/>
  <c r="C122" i="31720"/>
  <c r="P44" i="4"/>
  <c r="F38" i="4"/>
  <c r="D38" i="4"/>
  <c r="P34" i="4"/>
  <c r="T39" i="7"/>
  <c r="T37" i="7"/>
  <c r="E46" i="31721"/>
  <c r="C46" i="31721"/>
  <c r="V34" i="31725"/>
  <c r="F14" i="4" l="1"/>
  <c r="B14" i="4"/>
  <c r="I18" i="9"/>
  <c r="E18" i="9"/>
  <c r="H18" i="31723"/>
  <c r="F18" i="31723"/>
  <c r="J16" i="31723"/>
  <c r="G16" i="9" s="1"/>
  <c r="D28" i="4" s="1"/>
  <c r="J13" i="31723"/>
  <c r="J18" i="31723" s="1"/>
  <c r="F44" i="4"/>
  <c r="E44" i="4"/>
  <c r="D44" i="4"/>
  <c r="B44" i="4"/>
  <c r="C36" i="31721"/>
  <c r="Q36" i="31721" s="1"/>
  <c r="C26" i="31721"/>
  <c r="X26" i="31721"/>
  <c r="K18" i="31721"/>
  <c r="F15" i="31725"/>
  <c r="G120" i="6"/>
  <c r="E122" i="31720"/>
  <c r="E117" i="31720"/>
  <c r="I116" i="31720"/>
  <c r="E114" i="6" s="1"/>
  <c r="I114" i="6" s="1"/>
  <c r="I110" i="31720"/>
  <c r="K110" i="31720" s="1"/>
  <c r="C108" i="6"/>
  <c r="P39" i="31725"/>
  <c r="M29" i="31721"/>
  <c r="J30" i="7" s="1"/>
  <c r="I57" i="31720"/>
  <c r="K57" i="31720" s="1"/>
  <c r="D57" i="31712" l="1"/>
  <c r="E109" i="6"/>
  <c r="I109" i="6" s="1"/>
  <c r="G13" i="9"/>
  <c r="J47" i="31725"/>
  <c r="E196" i="31720"/>
  <c r="I19" i="31721"/>
  <c r="M55" i="1488" l="1"/>
  <c r="K55" i="1488"/>
  <c r="R41" i="31725"/>
  <c r="L41" i="31725"/>
  <c r="F41" i="31725"/>
  <c r="H47" i="31712"/>
  <c r="F47" i="31712"/>
  <c r="AB47" i="31725"/>
  <c r="L56" i="31725"/>
  <c r="L54" i="31725"/>
  <c r="N51" i="31725"/>
  <c r="X42" i="31725"/>
  <c r="V42" i="31725"/>
  <c r="N122" i="6"/>
  <c r="B64" i="4"/>
  <c r="B38" i="4" l="1"/>
  <c r="B34" i="4"/>
  <c r="AB15" i="31725" l="1"/>
  <c r="AC15" i="31725"/>
  <c r="I190" i="31720"/>
  <c r="E188" i="6" s="1"/>
  <c r="I188" i="6" s="1"/>
  <c r="I188" i="31720"/>
  <c r="K188" i="31720" s="1"/>
  <c r="I187" i="31720"/>
  <c r="E15" i="31720"/>
  <c r="E185" i="6" l="1"/>
  <c r="I185" i="6" s="1"/>
  <c r="K187" i="31720"/>
  <c r="K190" i="31720"/>
  <c r="F50" i="31712"/>
  <c r="D50" i="31712"/>
  <c r="H51" i="7"/>
  <c r="H39" i="7"/>
  <c r="H31" i="7"/>
  <c r="H20" i="7"/>
  <c r="H14" i="7"/>
  <c r="B29" i="7"/>
  <c r="B28" i="7"/>
  <c r="C180" i="6"/>
  <c r="C164" i="6"/>
  <c r="J163" i="6" s="1"/>
  <c r="L161" i="6"/>
  <c r="L160" i="6"/>
  <c r="H41" i="7" l="1"/>
  <c r="H44" i="7" s="1"/>
  <c r="H55" i="7" s="1"/>
  <c r="H58" i="7" s="1"/>
  <c r="K180" i="6"/>
  <c r="C172" i="6"/>
  <c r="J171" i="6"/>
  <c r="C174" i="6"/>
  <c r="J160" i="6"/>
  <c r="C130" i="6"/>
  <c r="C135" i="6"/>
  <c r="C128" i="6"/>
  <c r="C120" i="6"/>
  <c r="J122" i="6" s="1"/>
  <c r="C99" i="6" l="1"/>
  <c r="C84" i="6" l="1"/>
  <c r="Y42" i="1488" l="1"/>
  <c r="U42" i="1488"/>
  <c r="D36" i="4" l="1"/>
  <c r="F17" i="31717" l="1"/>
  <c r="G191" i="6"/>
  <c r="C191" i="6"/>
  <c r="B27" i="4" s="1"/>
  <c r="F47" i="4"/>
  <c r="B47" i="4"/>
  <c r="G23" i="6" l="1"/>
  <c r="F27" i="4"/>
  <c r="N28" i="31725"/>
  <c r="K28" i="1488" s="1"/>
  <c r="N19" i="7"/>
  <c r="I32" i="31720"/>
  <c r="E29" i="6" s="1"/>
  <c r="D47" i="4" l="1"/>
  <c r="G13" i="6"/>
  <c r="N27" i="7" l="1"/>
  <c r="F36" i="4" l="1"/>
  <c r="B36" i="4"/>
  <c r="D11" i="31712"/>
  <c r="D10" i="31712"/>
  <c r="D13" i="31712"/>
  <c r="D12" i="31712"/>
  <c r="C69" i="6"/>
  <c r="C61" i="6"/>
  <c r="A4" i="31725"/>
  <c r="O38" i="31721"/>
  <c r="K38" i="31721"/>
  <c r="I38" i="31721"/>
  <c r="E38" i="31721"/>
  <c r="C38" i="31721"/>
  <c r="G33" i="31721"/>
  <c r="M24" i="31721"/>
  <c r="J25" i="7" s="1"/>
  <c r="M25" i="31721"/>
  <c r="J26" i="7" s="1"/>
  <c r="M26" i="31721"/>
  <c r="J27" i="7" s="1"/>
  <c r="M27" i="31721"/>
  <c r="J28" i="7" s="1"/>
  <c r="M28" i="31721"/>
  <c r="G29" i="31721"/>
  <c r="G28" i="31721"/>
  <c r="G27" i="31721"/>
  <c r="G26" i="31721"/>
  <c r="G25" i="31721"/>
  <c r="G24" i="31721"/>
  <c r="G23" i="31721"/>
  <c r="G22" i="31721"/>
  <c r="G18" i="31721"/>
  <c r="G17" i="31721"/>
  <c r="M12" i="31721"/>
  <c r="G12" i="31721"/>
  <c r="G34" i="31720"/>
  <c r="E34" i="31720"/>
  <c r="C34" i="31720"/>
  <c r="I100" i="31720"/>
  <c r="I101" i="31720"/>
  <c r="I102" i="31720"/>
  <c r="I103" i="31720"/>
  <c r="K103" i="31720" s="1"/>
  <c r="I104" i="31720"/>
  <c r="I105" i="31720"/>
  <c r="I106" i="31720"/>
  <c r="I107" i="31720"/>
  <c r="I108" i="31720"/>
  <c r="I109" i="31720"/>
  <c r="I111" i="31720"/>
  <c r="I112" i="31720"/>
  <c r="I113" i="31720"/>
  <c r="I114" i="31720"/>
  <c r="I115" i="31720"/>
  <c r="I123" i="31720"/>
  <c r="I129" i="31720"/>
  <c r="I124" i="31720"/>
  <c r="I125" i="31720"/>
  <c r="I126" i="31720"/>
  <c r="I127" i="31720"/>
  <c r="I128" i="31720"/>
  <c r="I130" i="31720"/>
  <c r="I131" i="31720"/>
  <c r="I132" i="31720"/>
  <c r="I133" i="31720"/>
  <c r="I134" i="31720"/>
  <c r="I135" i="31720"/>
  <c r="I136" i="31720"/>
  <c r="I137" i="31720"/>
  <c r="I138" i="31720"/>
  <c r="K138" i="31720" s="1"/>
  <c r="I139" i="31720"/>
  <c r="C193" i="31720"/>
  <c r="E193" i="31720"/>
  <c r="G193" i="31720"/>
  <c r="I192" i="31720"/>
  <c r="K192" i="31720" s="1"/>
  <c r="U43" i="1488" l="1"/>
  <c r="E60" i="6"/>
  <c r="I60" i="6" s="1"/>
  <c r="G11" i="31721" l="1"/>
  <c r="J53" i="31725"/>
  <c r="Y18" i="31721" l="1"/>
  <c r="G31" i="6"/>
  <c r="C31" i="6"/>
  <c r="H56" i="31712" l="1"/>
  <c r="Z42" i="31725" l="1"/>
  <c r="Q47" i="31721"/>
  <c r="E25" i="31720"/>
  <c r="E191" i="6"/>
  <c r="D27" i="4" s="1"/>
  <c r="I193" i="31720" l="1"/>
  <c r="K193" i="31720" l="1"/>
  <c r="E146" i="31720"/>
  <c r="I74" i="31720"/>
  <c r="I75" i="31720"/>
  <c r="K75" i="31720" s="1"/>
  <c r="I76" i="31720"/>
  <c r="K76" i="31720" s="1"/>
  <c r="I77" i="31720"/>
  <c r="K77" i="31720" s="1"/>
  <c r="I78" i="31720"/>
  <c r="K78" i="31720" s="1"/>
  <c r="I79" i="31720"/>
  <c r="K79" i="31720" s="1"/>
  <c r="I80" i="31720"/>
  <c r="K80" i="31720" s="1"/>
  <c r="I81" i="31720"/>
  <c r="I82" i="31720"/>
  <c r="P39" i="4" l="1"/>
  <c r="P37" i="4"/>
  <c r="F39" i="4"/>
  <c r="F37" i="4"/>
  <c r="D39" i="4"/>
  <c r="D37" i="4"/>
  <c r="B39" i="4"/>
  <c r="B37" i="4"/>
  <c r="AE22" i="31725" l="1"/>
  <c r="AC22" i="31725"/>
  <c r="Z22" i="31725"/>
  <c r="T22" i="31725"/>
  <c r="N22" i="31725"/>
  <c r="H22" i="31725"/>
  <c r="A5" i="31722"/>
  <c r="U36" i="31721"/>
  <c r="M36" i="31721"/>
  <c r="G36" i="31721"/>
  <c r="D37" i="7" l="1"/>
  <c r="AG22" i="31725"/>
  <c r="W36" i="31721"/>
  <c r="AE29" i="1488"/>
  <c r="AB43" i="31725"/>
  <c r="AC42" i="31725"/>
  <c r="AC41" i="31725"/>
  <c r="AE42" i="31725" l="1"/>
  <c r="B31" i="7" l="1"/>
  <c r="H55" i="31712" l="1"/>
  <c r="F48" i="4" s="1"/>
  <c r="M48" i="31721"/>
  <c r="J49" i="7" s="1"/>
  <c r="N49" i="7"/>
  <c r="H57" i="31712" l="1"/>
  <c r="G181" i="6"/>
  <c r="G21" i="6" s="1"/>
  <c r="AE26" i="1488" l="1"/>
  <c r="H23" i="31712" s="1"/>
  <c r="P43" i="31725"/>
  <c r="H21" i="31725"/>
  <c r="H23" i="31725"/>
  <c r="H24" i="31725"/>
  <c r="H25" i="31725"/>
  <c r="E25" i="1488" s="1"/>
  <c r="H26" i="31725"/>
  <c r="H27" i="31725"/>
  <c r="H28" i="31725"/>
  <c r="H29" i="31725"/>
  <c r="H30" i="31725"/>
  <c r="H31" i="31725"/>
  <c r="H32" i="31725"/>
  <c r="H33" i="31725"/>
  <c r="H34" i="31725"/>
  <c r="H35" i="31725"/>
  <c r="H36" i="31725"/>
  <c r="H37" i="31725"/>
  <c r="H38" i="31725"/>
  <c r="H39" i="31725"/>
  <c r="H40" i="31725"/>
  <c r="H41" i="31725"/>
  <c r="H42" i="31725"/>
  <c r="E13" i="31721"/>
  <c r="E19" i="31721"/>
  <c r="E30" i="31721"/>
  <c r="E49" i="31721"/>
  <c r="E40" i="31721" l="1"/>
  <c r="E43" i="31721"/>
  <c r="E53" i="31721" s="1"/>
  <c r="O49" i="31721"/>
  <c r="K56" i="1488" l="1"/>
  <c r="K54" i="1488"/>
  <c r="M56" i="1488"/>
  <c r="M54" i="1488"/>
  <c r="X43" i="31725"/>
  <c r="L53" i="31725"/>
  <c r="R18" i="7"/>
  <c r="E83" i="6"/>
  <c r="L55" i="31725"/>
  <c r="AE36" i="31725" l="1"/>
  <c r="F47" i="31725"/>
  <c r="D47" i="31725"/>
  <c r="J55" i="31725"/>
  <c r="L48" i="4"/>
  <c r="L181" i="31720"/>
  <c r="L182" i="31720"/>
  <c r="L183" i="31720" l="1"/>
  <c r="E82" i="6"/>
  <c r="I82" i="6" s="1"/>
  <c r="AB18" i="31725" l="1"/>
  <c r="O30" i="31721"/>
  <c r="C183" i="31720"/>
  <c r="C118" i="31720"/>
  <c r="C181" i="6"/>
  <c r="C85" i="6"/>
  <c r="AB45" i="31725" l="1"/>
  <c r="C13" i="6"/>
  <c r="K30" i="31721"/>
  <c r="R19" i="7" l="1"/>
  <c r="I144" i="31720" l="1"/>
  <c r="K144" i="31720" s="1"/>
  <c r="AA42" i="1488"/>
  <c r="D38" i="31712" s="1"/>
  <c r="AK200" i="31731"/>
  <c r="AD200" i="31731"/>
  <c r="Y200" i="31731"/>
  <c r="X200" i="31731"/>
  <c r="U200" i="31731"/>
  <c r="T200" i="31731"/>
  <c r="Q200" i="31731"/>
  <c r="P200" i="31731"/>
  <c r="AI197" i="31731"/>
  <c r="AI204" i="31731" s="1"/>
  <c r="Z197" i="31731"/>
  <c r="Z204" i="31731" s="1"/>
  <c r="V197" i="31731"/>
  <c r="V204" i="31731" s="1"/>
  <c r="R197" i="31731"/>
  <c r="R204" i="31731" s="1"/>
  <c r="AK194" i="31731"/>
  <c r="AD194" i="31731"/>
  <c r="Y194" i="31731"/>
  <c r="X194" i="31731"/>
  <c r="U194" i="31731"/>
  <c r="T194" i="31731"/>
  <c r="Q194" i="31731"/>
  <c r="P194" i="31731"/>
  <c r="AK192" i="31731"/>
  <c r="AD192" i="31731"/>
  <c r="Y192" i="31731"/>
  <c r="X192" i="31731"/>
  <c r="U192" i="31731"/>
  <c r="U197" i="31731" s="1"/>
  <c r="T192" i="31731"/>
  <c r="Q192" i="31731"/>
  <c r="Q197" i="31731" s="1"/>
  <c r="P192" i="31731"/>
  <c r="AK197" i="31731" l="1"/>
  <c r="AK204" i="31731" s="1"/>
  <c r="T197" i="31731"/>
  <c r="T204" i="31731" s="1"/>
  <c r="AB194" i="31731"/>
  <c r="U204" i="31731"/>
  <c r="Q204" i="31731"/>
  <c r="AC194" i="31731"/>
  <c r="AC200" i="31731"/>
  <c r="AD197" i="31731"/>
  <c r="AD204" i="31731" s="1"/>
  <c r="E142" i="6"/>
  <c r="I142" i="6" s="1"/>
  <c r="Y197" i="31731"/>
  <c r="Y204" i="31731" s="1"/>
  <c r="X197" i="31731"/>
  <c r="X204" i="31731" s="1"/>
  <c r="AB192" i="31731"/>
  <c r="AB197" i="31731" s="1"/>
  <c r="AB200" i="31731"/>
  <c r="AC192" i="31731"/>
  <c r="P197" i="31731"/>
  <c r="P204" i="31731" s="1"/>
  <c r="AC197" i="31731" l="1"/>
  <c r="AC204" i="31731" s="1"/>
  <c r="AB204" i="31731"/>
  <c r="N42" i="31725" l="1"/>
  <c r="K42" i="1488" s="1"/>
  <c r="I170" i="31720" l="1"/>
  <c r="E168" i="6" l="1"/>
  <c r="I168" i="6" s="1"/>
  <c r="K170" i="31720"/>
  <c r="G47" i="31721"/>
  <c r="D48" i="7" s="1"/>
  <c r="G46" i="31721"/>
  <c r="D47" i="7" s="1"/>
  <c r="G48" i="31721"/>
  <c r="D49" i="7" s="1"/>
  <c r="P49" i="7" s="1"/>
  <c r="S37" i="31721"/>
  <c r="S38" i="31721" s="1"/>
  <c r="C39" i="7"/>
  <c r="E39" i="7"/>
  <c r="F39" i="7"/>
  <c r="G39" i="7"/>
  <c r="I39" i="7"/>
  <c r="K39" i="7"/>
  <c r="L39" i="7"/>
  <c r="M39" i="7"/>
  <c r="O39" i="7"/>
  <c r="Q39" i="7"/>
  <c r="S39" i="7"/>
  <c r="B39" i="7"/>
  <c r="R38" i="7"/>
  <c r="N37" i="7"/>
  <c r="N38" i="7"/>
  <c r="Q37" i="31721"/>
  <c r="Q38" i="31721" s="1"/>
  <c r="M37" i="31721"/>
  <c r="M38" i="31721" s="1"/>
  <c r="G37" i="31721"/>
  <c r="D38" i="7" l="1"/>
  <c r="G38" i="31721"/>
  <c r="J38" i="7"/>
  <c r="P38" i="7" s="1"/>
  <c r="U37" i="31721"/>
  <c r="U38" i="31721" s="1"/>
  <c r="E136" i="6"/>
  <c r="E102" i="6" l="1"/>
  <c r="I102" i="6" s="1"/>
  <c r="B15" i="4"/>
  <c r="T10" i="31725"/>
  <c r="Z10" i="31725" s="1"/>
  <c r="AG10" i="31725" s="1"/>
  <c r="N15" i="31725"/>
  <c r="G43" i="1488"/>
  <c r="E10" i="1488"/>
  <c r="K10" i="1488" s="1"/>
  <c r="Q10" i="1488" s="1"/>
  <c r="W10" i="1488" s="1"/>
  <c r="AC10" i="1488" s="1"/>
  <c r="F7" i="31712"/>
  <c r="H7" i="31712" s="1"/>
  <c r="G9" i="9"/>
  <c r="I9" i="9" s="1"/>
  <c r="G9" i="8"/>
  <c r="I9" i="8" s="1"/>
  <c r="D9" i="7"/>
  <c r="J9" i="7" s="1"/>
  <c r="E7" i="6"/>
  <c r="E94" i="6" s="1"/>
  <c r="F9" i="4"/>
  <c r="AA35" i="1488"/>
  <c r="D31" i="31712" s="1"/>
  <c r="AA38" i="1488"/>
  <c r="D34" i="31712" s="1"/>
  <c r="N39" i="7"/>
  <c r="D27" i="7"/>
  <c r="P27" i="7" s="1"/>
  <c r="S26" i="31721"/>
  <c r="Q26" i="31721"/>
  <c r="S25" i="31721"/>
  <c r="Q25" i="31721"/>
  <c r="D26" i="7"/>
  <c r="P26" i="7" s="1"/>
  <c r="R26" i="7"/>
  <c r="N26" i="7"/>
  <c r="G144" i="6"/>
  <c r="G20" i="6" s="1"/>
  <c r="G146" i="31720"/>
  <c r="I63" i="31720"/>
  <c r="I33" i="31720"/>
  <c r="K82" i="31720"/>
  <c r="I167" i="31720"/>
  <c r="K167" i="31720" s="1"/>
  <c r="C30" i="31721"/>
  <c r="C23" i="6"/>
  <c r="C116" i="6"/>
  <c r="M30" i="31720"/>
  <c r="E118" i="31720"/>
  <c r="G196" i="6"/>
  <c r="O19" i="31722"/>
  <c r="I163" i="31720"/>
  <c r="I174" i="31720"/>
  <c r="I172" i="31720"/>
  <c r="I171" i="31720"/>
  <c r="I169" i="31720"/>
  <c r="E167" i="6" s="1"/>
  <c r="I167" i="6" s="1"/>
  <c r="I165" i="31720"/>
  <c r="I50" i="31720"/>
  <c r="E53" i="6" s="1"/>
  <c r="I53" i="6" s="1"/>
  <c r="AE42" i="1488"/>
  <c r="H38" i="31712" s="1"/>
  <c r="I173" i="31720"/>
  <c r="E171" i="6" s="1"/>
  <c r="I171" i="6" s="1"/>
  <c r="I197" i="31720"/>
  <c r="K197" i="31720" s="1"/>
  <c r="G198" i="31720"/>
  <c r="E198" i="31720"/>
  <c r="A4" i="31723"/>
  <c r="H15" i="31725"/>
  <c r="T15" i="31725"/>
  <c r="Q15" i="1488" s="1"/>
  <c r="F12" i="31712" s="1"/>
  <c r="N16" i="31725"/>
  <c r="K17" i="1488" s="1"/>
  <c r="T16" i="31725"/>
  <c r="Q17" i="1488" s="1"/>
  <c r="AC16" i="31725"/>
  <c r="H17" i="31725"/>
  <c r="E18" i="1488" s="1"/>
  <c r="N17" i="31725"/>
  <c r="K18" i="1488" s="1"/>
  <c r="T17" i="31725"/>
  <c r="Q18" i="1488" s="1"/>
  <c r="AC17" i="31725"/>
  <c r="D18" i="31725"/>
  <c r="J18" i="31725"/>
  <c r="L18" i="31725"/>
  <c r="P18" i="31725"/>
  <c r="P45" i="31725" s="1"/>
  <c r="R18" i="31725"/>
  <c r="V18" i="31725"/>
  <c r="E22" i="1488"/>
  <c r="N21" i="31725"/>
  <c r="K22" i="1488" s="1"/>
  <c r="T21" i="31725"/>
  <c r="Q22" i="1488" s="1"/>
  <c r="Z21" i="31725"/>
  <c r="AE22" i="1488" s="1"/>
  <c r="AC21" i="31725"/>
  <c r="AE21" i="31725"/>
  <c r="E23" i="1488"/>
  <c r="N23" i="31725"/>
  <c r="K23" i="1488" s="1"/>
  <c r="T23" i="31725"/>
  <c r="Z23" i="31725"/>
  <c r="AE23" i="1488" s="1"/>
  <c r="AC23" i="31725"/>
  <c r="AE23" i="31725"/>
  <c r="E24" i="1488"/>
  <c r="N24" i="31725"/>
  <c r="K24" i="1488" s="1"/>
  <c r="T24" i="31725"/>
  <c r="Q24" i="1488" s="1"/>
  <c r="Z24" i="31725"/>
  <c r="AE24" i="1488" s="1"/>
  <c r="AC24" i="31725"/>
  <c r="AE24" i="31725"/>
  <c r="N25" i="31725"/>
  <c r="K25" i="1488" s="1"/>
  <c r="T25" i="31725"/>
  <c r="Q25" i="1488" s="1"/>
  <c r="Z25" i="31725"/>
  <c r="AC25" i="31725"/>
  <c r="AE25" i="31725"/>
  <c r="E26" i="1488"/>
  <c r="N26" i="31725"/>
  <c r="K26" i="1488" s="1"/>
  <c r="T26" i="31725"/>
  <c r="Q26" i="1488" s="1"/>
  <c r="Z26" i="31725"/>
  <c r="AC26" i="31725"/>
  <c r="AE26" i="31725"/>
  <c r="N27" i="31725"/>
  <c r="K27" i="1488" s="1"/>
  <c r="T27" i="31725"/>
  <c r="Q27" i="1488" s="1"/>
  <c r="Z27" i="31725"/>
  <c r="AE27" i="1488" s="1"/>
  <c r="AC27" i="31725"/>
  <c r="AE27" i="31725"/>
  <c r="T28" i="31725"/>
  <c r="Q28" i="1488" s="1"/>
  <c r="Z28" i="31725"/>
  <c r="AE28" i="1488" s="1"/>
  <c r="AC28" i="31725"/>
  <c r="AE28" i="31725"/>
  <c r="E29" i="1488"/>
  <c r="N29" i="31725"/>
  <c r="K29" i="1488" s="1"/>
  <c r="T29" i="31725"/>
  <c r="Q29" i="1488" s="1"/>
  <c r="Z29" i="31725"/>
  <c r="AC29" i="31725"/>
  <c r="AE29" i="31725"/>
  <c r="N30" i="31725"/>
  <c r="K30" i="1488" s="1"/>
  <c r="Z30" i="31725"/>
  <c r="AC30" i="31725"/>
  <c r="AE30" i="31725"/>
  <c r="N31" i="31725"/>
  <c r="K31" i="1488" s="1"/>
  <c r="T31" i="31725"/>
  <c r="Q31" i="1488" s="1"/>
  <c r="Z31" i="31725"/>
  <c r="W31" i="1488" s="1"/>
  <c r="AC31" i="31725"/>
  <c r="AE31" i="31725"/>
  <c r="N32" i="31725"/>
  <c r="K32" i="1488" s="1"/>
  <c r="T32" i="31725"/>
  <c r="Q32" i="1488" s="1"/>
  <c r="Z32" i="31725"/>
  <c r="W32" i="1488" s="1"/>
  <c r="AC32" i="31725"/>
  <c r="AE32" i="31725"/>
  <c r="E33" i="1488"/>
  <c r="N33" i="31725"/>
  <c r="K33" i="1488" s="1"/>
  <c r="T33" i="31725"/>
  <c r="Q33" i="1488" s="1"/>
  <c r="Z33" i="31725"/>
  <c r="W33" i="1488" s="1"/>
  <c r="AC33" i="31725"/>
  <c r="AE33" i="31725"/>
  <c r="E34" i="1488"/>
  <c r="N34" i="31725"/>
  <c r="K34" i="1488" s="1"/>
  <c r="T34" i="31725"/>
  <c r="Q34" i="1488" s="1"/>
  <c r="Z34" i="31725"/>
  <c r="AC34" i="31725"/>
  <c r="AE34" i="31725"/>
  <c r="E35" i="1488"/>
  <c r="N35" i="31725"/>
  <c r="K35" i="1488" s="1"/>
  <c r="T35" i="31725"/>
  <c r="Q35" i="1488" s="1"/>
  <c r="Z35" i="31725"/>
  <c r="W35" i="1488" s="1"/>
  <c r="AC35" i="31725"/>
  <c r="AE35" i="31725"/>
  <c r="E36" i="1488"/>
  <c r="N36" i="31725"/>
  <c r="K36" i="1488" s="1"/>
  <c r="T36" i="31725"/>
  <c r="Q36" i="1488" s="1"/>
  <c r="Z36" i="31725"/>
  <c r="W36" i="1488" s="1"/>
  <c r="AC36" i="31725"/>
  <c r="E37" i="1488"/>
  <c r="N37" i="31725"/>
  <c r="K37" i="1488" s="1"/>
  <c r="T37" i="31725"/>
  <c r="Q37" i="1488" s="1"/>
  <c r="Z37" i="31725"/>
  <c r="AC37" i="31725"/>
  <c r="AE37" i="31725"/>
  <c r="E38" i="1488"/>
  <c r="N38" i="31725"/>
  <c r="K38" i="1488" s="1"/>
  <c r="T38" i="31725"/>
  <c r="Q38" i="1488" s="1"/>
  <c r="Z38" i="31725"/>
  <c r="W38" i="1488" s="1"/>
  <c r="AC38" i="31725"/>
  <c r="AE38" i="31725"/>
  <c r="E39" i="1488"/>
  <c r="N39" i="31725"/>
  <c r="K39" i="1488" s="1"/>
  <c r="T39" i="31725"/>
  <c r="Q39" i="1488" s="1"/>
  <c r="Z39" i="31725"/>
  <c r="AE39" i="1488" s="1"/>
  <c r="H35" i="31712" s="1"/>
  <c r="AC39" i="31725"/>
  <c r="AE39" i="31725"/>
  <c r="N40" i="31725"/>
  <c r="K40" i="1488" s="1"/>
  <c r="T40" i="31725"/>
  <c r="Q40" i="1488" s="1"/>
  <c r="Z40" i="31725"/>
  <c r="AC40" i="31725"/>
  <c r="AE40" i="31725"/>
  <c r="E41" i="1488"/>
  <c r="N41" i="31725"/>
  <c r="K41" i="1488" s="1"/>
  <c r="T41" i="31725"/>
  <c r="Q41" i="1488" s="1"/>
  <c r="Z41" i="31725"/>
  <c r="AE41" i="31725"/>
  <c r="F43" i="31725"/>
  <c r="L43" i="31725"/>
  <c r="R43" i="31725"/>
  <c r="F56" i="31725"/>
  <c r="O10" i="31722"/>
  <c r="Q10" i="31722"/>
  <c r="S10" i="31722"/>
  <c r="K14" i="31722"/>
  <c r="G13" i="8" s="1"/>
  <c r="O14" i="31722"/>
  <c r="Q14" i="31722"/>
  <c r="Q24" i="31722"/>
  <c r="O24" i="31722"/>
  <c r="O30" i="31722" s="1"/>
  <c r="K18" i="31722"/>
  <c r="G17" i="8" s="1"/>
  <c r="M17" i="8" s="1"/>
  <c r="M20" i="8" s="1"/>
  <c r="O18" i="31722"/>
  <c r="O21" i="31722" s="1"/>
  <c r="Q18" i="31722"/>
  <c r="Q21" i="31722" s="1"/>
  <c r="Q19" i="31722"/>
  <c r="K20" i="31722"/>
  <c r="O20" i="31722"/>
  <c r="Q20" i="31722"/>
  <c r="E21" i="31722"/>
  <c r="E24" i="31722" s="1"/>
  <c r="E30" i="31722" s="1"/>
  <c r="A4" i="31721"/>
  <c r="M8" i="31721"/>
  <c r="U8" i="31721"/>
  <c r="M11" i="31721"/>
  <c r="Q11" i="31721"/>
  <c r="Y6" i="31721" s="1"/>
  <c r="S11" i="31721"/>
  <c r="D13" i="7"/>
  <c r="J13" i="7"/>
  <c r="Q12" i="31721"/>
  <c r="S12" i="31721"/>
  <c r="C13" i="31721"/>
  <c r="I13" i="31721"/>
  <c r="K13" i="31721"/>
  <c r="O13" i="31721"/>
  <c r="D18" i="7"/>
  <c r="M17" i="31721"/>
  <c r="J18" i="7" s="1"/>
  <c r="Q17" i="31721"/>
  <c r="S17" i="31721"/>
  <c r="D19" i="7"/>
  <c r="M18" i="31721"/>
  <c r="Q18" i="31721"/>
  <c r="S18" i="31721"/>
  <c r="C19" i="31721"/>
  <c r="K19" i="31721"/>
  <c r="K40" i="31721" s="1"/>
  <c r="O19" i="31721"/>
  <c r="O40" i="31721" s="1"/>
  <c r="M22" i="31721"/>
  <c r="J23" i="7" s="1"/>
  <c r="Q22" i="31721"/>
  <c r="S22" i="31721"/>
  <c r="D24" i="7"/>
  <c r="M23" i="31721"/>
  <c r="J24" i="7" s="1"/>
  <c r="Q23" i="31721"/>
  <c r="S23" i="31721"/>
  <c r="D25" i="7"/>
  <c r="Q24" i="31721"/>
  <c r="S24" i="31721"/>
  <c r="D28" i="7"/>
  <c r="S27" i="31721"/>
  <c r="D29" i="7"/>
  <c r="J29" i="7"/>
  <c r="Q28" i="31721"/>
  <c r="S28" i="31721"/>
  <c r="D30" i="7"/>
  <c r="Q29" i="31721"/>
  <c r="S29" i="31721"/>
  <c r="I30" i="31721"/>
  <c r="I40" i="31721" s="1"/>
  <c r="D34" i="7"/>
  <c r="M33" i="31721"/>
  <c r="J34" i="7" s="1"/>
  <c r="Q33" i="31721"/>
  <c r="S33" i="31721"/>
  <c r="D39" i="7"/>
  <c r="J39" i="7"/>
  <c r="Q46" i="31721"/>
  <c r="Q48" i="31721"/>
  <c r="S48" i="31721"/>
  <c r="C49" i="31721"/>
  <c r="I49" i="31721"/>
  <c r="C17" i="31720"/>
  <c r="H22" i="31720"/>
  <c r="H23" i="31720"/>
  <c r="C26" i="31720"/>
  <c r="A43" i="31720"/>
  <c r="E46" i="31720"/>
  <c r="G46" i="31720"/>
  <c r="I46" i="31720"/>
  <c r="I49" i="31720"/>
  <c r="I52" i="31720"/>
  <c r="E55" i="6" s="1"/>
  <c r="I55" i="6" s="1"/>
  <c r="C53" i="31720"/>
  <c r="E53" i="31720"/>
  <c r="E12" i="31720" s="1"/>
  <c r="I56" i="31720"/>
  <c r="K56" i="31720" s="1"/>
  <c r="C58" i="31720"/>
  <c r="E58" i="31720"/>
  <c r="E13" i="31720" s="1"/>
  <c r="G58" i="31720"/>
  <c r="I62" i="31720"/>
  <c r="E65" i="6" s="1"/>
  <c r="I64" i="31720"/>
  <c r="E67" i="6" s="1"/>
  <c r="I67" i="6" s="1"/>
  <c r="I65" i="31720"/>
  <c r="K65" i="31720" s="1"/>
  <c r="I66" i="31720"/>
  <c r="E69" i="6" s="1"/>
  <c r="I69" i="6" s="1"/>
  <c r="I67" i="31720"/>
  <c r="K67" i="31720" s="1"/>
  <c r="C68" i="31720"/>
  <c r="E68" i="31720"/>
  <c r="E14" i="31720" s="1"/>
  <c r="I71" i="31720"/>
  <c r="E73" i="6" s="1"/>
  <c r="E76" i="6"/>
  <c r="E78" i="6"/>
  <c r="I78" i="6" s="1"/>
  <c r="C83" i="31720"/>
  <c r="A90" i="31720"/>
  <c r="E94" i="31720"/>
  <c r="G94" i="31720"/>
  <c r="I94" i="31720"/>
  <c r="I98" i="31720"/>
  <c r="K98" i="31720" s="1"/>
  <c r="I99" i="31720"/>
  <c r="E99" i="6" s="1"/>
  <c r="I99" i="6" s="1"/>
  <c r="K101" i="31720"/>
  <c r="K102" i="31720"/>
  <c r="K104" i="31720"/>
  <c r="E104" i="6"/>
  <c r="I104" i="6" s="1"/>
  <c r="K106" i="31720"/>
  <c r="K107" i="31720"/>
  <c r="E107" i="6"/>
  <c r="I107" i="6" s="1"/>
  <c r="K109" i="31720"/>
  <c r="K111" i="31720"/>
  <c r="E111" i="6"/>
  <c r="I111" i="6" s="1"/>
  <c r="E112" i="6"/>
  <c r="I112" i="6" s="1"/>
  <c r="E113" i="6"/>
  <c r="I113" i="6" s="1"/>
  <c r="G118" i="31720"/>
  <c r="I121" i="31720"/>
  <c r="E119" i="6" s="1"/>
  <c r="I119" i="6" s="1"/>
  <c r="K124" i="31720"/>
  <c r="E123" i="6"/>
  <c r="I123" i="6" s="1"/>
  <c r="K126" i="31720"/>
  <c r="E125" i="6"/>
  <c r="I125" i="6" s="1"/>
  <c r="E126" i="6"/>
  <c r="I126" i="6" s="1"/>
  <c r="E127" i="6"/>
  <c r="I127" i="6" s="1"/>
  <c r="K130" i="31720"/>
  <c r="K131" i="31720"/>
  <c r="K132" i="31720"/>
  <c r="E131" i="6"/>
  <c r="I131" i="6" s="1"/>
  <c r="E132" i="6"/>
  <c r="I132" i="6" s="1"/>
  <c r="E133" i="6"/>
  <c r="I133" i="6" s="1"/>
  <c r="E134" i="6"/>
  <c r="I134" i="6" s="1"/>
  <c r="E135" i="6"/>
  <c r="I135" i="6" s="1"/>
  <c r="K139" i="31720"/>
  <c r="I140" i="31720"/>
  <c r="E138" i="6" s="1"/>
  <c r="I138" i="6" s="1"/>
  <c r="I141" i="31720"/>
  <c r="E139" i="6" s="1"/>
  <c r="I139" i="6" s="1"/>
  <c r="I142" i="31720"/>
  <c r="K142" i="31720" s="1"/>
  <c r="I143" i="31720"/>
  <c r="I145" i="31720"/>
  <c r="K145" i="31720" s="1"/>
  <c r="C146" i="31720"/>
  <c r="A151" i="31720"/>
  <c r="E155" i="31720"/>
  <c r="G155" i="31720"/>
  <c r="I155" i="31720"/>
  <c r="I158" i="31720"/>
  <c r="E155" i="6" s="1"/>
  <c r="I155" i="6" s="1"/>
  <c r="I159" i="31720"/>
  <c r="E156" i="6" s="1"/>
  <c r="I156" i="6" s="1"/>
  <c r="I160" i="31720"/>
  <c r="K160" i="31720" s="1"/>
  <c r="I162" i="31720"/>
  <c r="E159" i="6" s="1"/>
  <c r="I159" i="6" s="1"/>
  <c r="I166" i="31720"/>
  <c r="K166" i="31720" s="1"/>
  <c r="I176" i="31720"/>
  <c r="K176" i="31720" s="1"/>
  <c r="I177" i="31720"/>
  <c r="E175" i="6" s="1"/>
  <c r="I175" i="6" s="1"/>
  <c r="I179" i="31720"/>
  <c r="E177" i="6" s="1"/>
  <c r="I177" i="6" s="1"/>
  <c r="I180" i="31720"/>
  <c r="K180" i="31720" s="1"/>
  <c r="I181" i="31720"/>
  <c r="K181" i="31720" s="1"/>
  <c r="I182" i="31720"/>
  <c r="G183" i="31720"/>
  <c r="H25" i="31720"/>
  <c r="C198" i="31720"/>
  <c r="F198" i="31720"/>
  <c r="H198" i="31720"/>
  <c r="H24" i="31720" s="1"/>
  <c r="A5" i="1488"/>
  <c r="I10" i="1488"/>
  <c r="O10" i="1488" s="1"/>
  <c r="U10" i="1488" s="1"/>
  <c r="AA10" i="1488" s="1"/>
  <c r="AA15" i="1488"/>
  <c r="AE15" i="1488"/>
  <c r="AA16" i="1488"/>
  <c r="AE16" i="1488"/>
  <c r="AA17" i="1488"/>
  <c r="AE17" i="1488"/>
  <c r="H13" i="31712" s="1"/>
  <c r="AA18" i="1488"/>
  <c r="D14" i="31712" s="1"/>
  <c r="B17" i="4" s="1"/>
  <c r="AE18" i="1488"/>
  <c r="H14" i="31712" s="1"/>
  <c r="C19" i="1488"/>
  <c r="G19" i="1488"/>
  <c r="I19" i="1488"/>
  <c r="M19" i="1488"/>
  <c r="O19" i="1488"/>
  <c r="S19" i="1488"/>
  <c r="U19" i="1488"/>
  <c r="U45" i="1488" s="1"/>
  <c r="Y19" i="1488"/>
  <c r="AA22" i="1488"/>
  <c r="AA23" i="1488"/>
  <c r="D20" i="31712" s="1"/>
  <c r="AA24" i="1488"/>
  <c r="D21" i="31712" s="1"/>
  <c r="AE25" i="1488"/>
  <c r="H22" i="31712" s="1"/>
  <c r="AA25" i="1488"/>
  <c r="D22" i="31712" s="1"/>
  <c r="AA26" i="1488"/>
  <c r="D23" i="31712" s="1"/>
  <c r="E27" i="1488"/>
  <c r="AA27" i="1488"/>
  <c r="D24" i="31712" s="1"/>
  <c r="E28" i="1488"/>
  <c r="AA28" i="1488"/>
  <c r="D19" i="31712" s="1"/>
  <c r="AA29" i="1488"/>
  <c r="H25" i="31712"/>
  <c r="E30" i="1488"/>
  <c r="Q30" i="1488"/>
  <c r="AA30" i="1488"/>
  <c r="D26" i="31712" s="1"/>
  <c r="AE30" i="1488"/>
  <c r="H26" i="31712" s="1"/>
  <c r="E31" i="1488"/>
  <c r="AA31" i="1488"/>
  <c r="D27" i="31712" s="1"/>
  <c r="AE31" i="1488"/>
  <c r="H27" i="31712" s="1"/>
  <c r="E32" i="1488"/>
  <c r="AA32" i="1488"/>
  <c r="D28" i="31712" s="1"/>
  <c r="AE32" i="1488"/>
  <c r="H28" i="31712" s="1"/>
  <c r="AA33" i="1488"/>
  <c r="D29" i="31712" s="1"/>
  <c r="AE33" i="1488"/>
  <c r="H29" i="31712" s="1"/>
  <c r="AA34" i="1488"/>
  <c r="D30" i="31712" s="1"/>
  <c r="AE34" i="1488"/>
  <c r="H30" i="31712" s="1"/>
  <c r="AE35" i="1488"/>
  <c r="H31" i="31712" s="1"/>
  <c r="AA36" i="1488"/>
  <c r="D32" i="31712" s="1"/>
  <c r="AE36" i="1488"/>
  <c r="H32" i="31712" s="1"/>
  <c r="AA37" i="1488"/>
  <c r="D33" i="31712" s="1"/>
  <c r="AE37" i="1488"/>
  <c r="H33" i="31712" s="1"/>
  <c r="AE38" i="1488"/>
  <c r="H34" i="31712" s="1"/>
  <c r="AA39" i="1488"/>
  <c r="D35" i="31712" s="1"/>
  <c r="AE40" i="1488"/>
  <c r="H36" i="31712" s="1"/>
  <c r="AA40" i="1488"/>
  <c r="D36" i="31712" s="1"/>
  <c r="AE41" i="1488"/>
  <c r="AA41" i="1488"/>
  <c r="D37" i="31712" s="1"/>
  <c r="C43" i="1488"/>
  <c r="I43" i="1488"/>
  <c r="M43" i="1488"/>
  <c r="O43" i="1488"/>
  <c r="AH43" i="1488" s="1"/>
  <c r="S43" i="1488"/>
  <c r="E57" i="1488"/>
  <c r="A4" i="31712"/>
  <c r="H10" i="31712"/>
  <c r="H11" i="31712"/>
  <c r="H12" i="31712"/>
  <c r="G19" i="31712"/>
  <c r="G36" i="31712"/>
  <c r="H50" i="31712"/>
  <c r="A4" i="9"/>
  <c r="B4" i="9"/>
  <c r="G18" i="9"/>
  <c r="K9" i="8"/>
  <c r="M9" i="8"/>
  <c r="O9" i="8"/>
  <c r="K13" i="8"/>
  <c r="O13" i="8"/>
  <c r="K17" i="8"/>
  <c r="K20" i="8" s="1"/>
  <c r="O17" i="8"/>
  <c r="O20" i="8" s="1"/>
  <c r="K18" i="8"/>
  <c r="O18" i="8"/>
  <c r="K19" i="8"/>
  <c r="O19" i="8"/>
  <c r="E20" i="8"/>
  <c r="E23" i="8" s="1"/>
  <c r="E29" i="8" s="1"/>
  <c r="I20" i="8"/>
  <c r="L26" i="4" s="1"/>
  <c r="K23" i="8"/>
  <c r="O23" i="8"/>
  <c r="K26" i="8"/>
  <c r="O26" i="8"/>
  <c r="K31" i="8"/>
  <c r="A5" i="7"/>
  <c r="H9" i="7"/>
  <c r="N9" i="7"/>
  <c r="N12" i="7"/>
  <c r="R12" i="7"/>
  <c r="N13" i="7"/>
  <c r="R13" i="7"/>
  <c r="B14" i="7"/>
  <c r="F14" i="7"/>
  <c r="L14" i="7"/>
  <c r="N18" i="7"/>
  <c r="B20" i="7"/>
  <c r="F20" i="7"/>
  <c r="L20" i="7"/>
  <c r="N23" i="7"/>
  <c r="R23" i="7"/>
  <c r="N24" i="7"/>
  <c r="R24" i="7"/>
  <c r="N25" i="7"/>
  <c r="R25" i="7"/>
  <c r="R27" i="7"/>
  <c r="N28" i="7"/>
  <c r="R28" i="7"/>
  <c r="N29" i="7"/>
  <c r="R29" i="7"/>
  <c r="N30" i="7"/>
  <c r="R30" i="7"/>
  <c r="F31" i="7"/>
  <c r="L31" i="7"/>
  <c r="N34" i="7"/>
  <c r="R34" i="7"/>
  <c r="J24" i="4" s="1"/>
  <c r="R37" i="7"/>
  <c r="N47" i="7"/>
  <c r="R47" i="7"/>
  <c r="N48" i="7"/>
  <c r="R48" i="7"/>
  <c r="R49" i="7"/>
  <c r="B51" i="7"/>
  <c r="F51" i="7"/>
  <c r="L51" i="7"/>
  <c r="N57" i="7"/>
  <c r="B56" i="4" s="1"/>
  <c r="F15" i="4"/>
  <c r="F20" i="6"/>
  <c r="F21" i="6"/>
  <c r="A44" i="6"/>
  <c r="C48" i="6"/>
  <c r="C56" i="6"/>
  <c r="C10" i="6" s="1"/>
  <c r="G56" i="6"/>
  <c r="G10" i="6" s="1"/>
  <c r="G61" i="6"/>
  <c r="G11" i="6" s="1"/>
  <c r="C71" i="6"/>
  <c r="C12" i="6" s="1"/>
  <c r="G71" i="6"/>
  <c r="C14" i="6"/>
  <c r="G85" i="6"/>
  <c r="G14" i="6" s="1"/>
  <c r="A91" i="6"/>
  <c r="C94" i="6"/>
  <c r="G116" i="6"/>
  <c r="A149" i="6"/>
  <c r="C152" i="6"/>
  <c r="C21" i="6"/>
  <c r="F23" i="6"/>
  <c r="C196" i="6"/>
  <c r="C22" i="6" s="1"/>
  <c r="D196" i="6"/>
  <c r="F196" i="6"/>
  <c r="F22" i="6" s="1"/>
  <c r="B4" i="31717"/>
  <c r="H17" i="31717"/>
  <c r="L12" i="4"/>
  <c r="N14" i="4"/>
  <c r="N18" i="4" s="1"/>
  <c r="L17" i="4"/>
  <c r="N29" i="4"/>
  <c r="B35" i="4"/>
  <c r="B40" i="4" s="1"/>
  <c r="D35" i="4"/>
  <c r="D40" i="4" s="1"/>
  <c r="F35" i="4"/>
  <c r="F40" i="4" s="1"/>
  <c r="P35" i="4"/>
  <c r="H40" i="4"/>
  <c r="J40" i="4"/>
  <c r="L40" i="4"/>
  <c r="N40" i="4"/>
  <c r="L50" i="4"/>
  <c r="N50" i="4"/>
  <c r="AA181" i="31714"/>
  <c r="AB181" i="31714"/>
  <c r="AE181" i="31714"/>
  <c r="AF181" i="31714"/>
  <c r="AI181" i="31714"/>
  <c r="AJ181" i="31714"/>
  <c r="AO181" i="31714"/>
  <c r="AV181" i="31714"/>
  <c r="AA183" i="31714"/>
  <c r="AA186" i="31714" s="1"/>
  <c r="AB183" i="31714"/>
  <c r="AE183" i="31714"/>
  <c r="AE186" i="31714" s="1"/>
  <c r="AF183" i="31714"/>
  <c r="AI183" i="31714"/>
  <c r="AJ183" i="31714"/>
  <c r="AO183" i="31714"/>
  <c r="AV183" i="31714"/>
  <c r="AC186" i="31714"/>
  <c r="AC193" i="31714" s="1"/>
  <c r="AG186" i="31714"/>
  <c r="AG193" i="31714" s="1"/>
  <c r="AK186" i="31714"/>
  <c r="AK193" i="31714" s="1"/>
  <c r="AT186" i="31714"/>
  <c r="AT193" i="31714" s="1"/>
  <c r="AA189" i="31714"/>
  <c r="AB189" i="31714"/>
  <c r="AE189" i="31714"/>
  <c r="AF189" i="31714"/>
  <c r="AI189" i="31714"/>
  <c r="AJ189" i="31714"/>
  <c r="AO189" i="31714"/>
  <c r="AV189" i="31714"/>
  <c r="H16" i="31725"/>
  <c r="E17" i="1488" s="1"/>
  <c r="F18" i="31725"/>
  <c r="E42" i="1488"/>
  <c r="D43" i="31725"/>
  <c r="J43" i="31725"/>
  <c r="T42" i="31725"/>
  <c r="Q42" i="1488" s="1"/>
  <c r="S24" i="31722"/>
  <c r="I196" i="31720"/>
  <c r="S46" i="31721"/>
  <c r="S47" i="31721"/>
  <c r="J48" i="7"/>
  <c r="P48" i="7" s="1"/>
  <c r="D49" i="4" s="1"/>
  <c r="AE16" i="31725"/>
  <c r="Z16" i="31725"/>
  <c r="W17" i="1488" s="1"/>
  <c r="AE17" i="31725"/>
  <c r="Z17" i="31725"/>
  <c r="W18" i="1488" s="1"/>
  <c r="X18" i="31725"/>
  <c r="X45" i="31725" s="1"/>
  <c r="Z15" i="31725"/>
  <c r="AE15" i="31725"/>
  <c r="K19" i="31722"/>
  <c r="S19" i="31722" s="1"/>
  <c r="G21" i="31722"/>
  <c r="G24" i="31722" s="1"/>
  <c r="G30" i="31722" s="1"/>
  <c r="V43" i="31725"/>
  <c r="I122" i="31720"/>
  <c r="E120" i="6" s="1"/>
  <c r="E22" i="31720"/>
  <c r="I117" i="31720"/>
  <c r="E115" i="6" s="1"/>
  <c r="I115" i="6" s="1"/>
  <c r="E183" i="31720"/>
  <c r="E83" i="31720"/>
  <c r="E16" i="31720" s="1"/>
  <c r="C144" i="6"/>
  <c r="J144" i="6" s="1"/>
  <c r="Q27" i="31721"/>
  <c r="M23" i="8"/>
  <c r="T48" i="7" l="1"/>
  <c r="F49" i="4"/>
  <c r="E194" i="6"/>
  <c r="K196" i="31720"/>
  <c r="I194" i="6"/>
  <c r="J194" i="6"/>
  <c r="P17" i="4"/>
  <c r="F17" i="4"/>
  <c r="J49" i="4"/>
  <c r="F55" i="31712"/>
  <c r="D48" i="4" s="1"/>
  <c r="V13" i="7"/>
  <c r="U13" i="7"/>
  <c r="C40" i="31721"/>
  <c r="G40" i="31721" s="1"/>
  <c r="J12" i="7"/>
  <c r="Y12" i="31721"/>
  <c r="J19" i="7"/>
  <c r="Y19" i="31721"/>
  <c r="I120" i="6"/>
  <c r="V11" i="7"/>
  <c r="U11" i="7"/>
  <c r="W42" i="1488"/>
  <c r="AC42" i="1488" s="1"/>
  <c r="F38" i="31712" s="1"/>
  <c r="C200" i="31720"/>
  <c r="AA19" i="1488"/>
  <c r="G200" i="31720"/>
  <c r="E24" i="31720"/>
  <c r="E200" i="31720"/>
  <c r="J12" i="4"/>
  <c r="V12" i="7"/>
  <c r="P48" i="4"/>
  <c r="T49" i="7"/>
  <c r="J48" i="4"/>
  <c r="G12" i="6"/>
  <c r="D18" i="31712"/>
  <c r="G22" i="6"/>
  <c r="F26" i="4" s="1"/>
  <c r="H27" i="4"/>
  <c r="E30" i="6"/>
  <c r="F56" i="31712" s="1"/>
  <c r="I34" i="31720"/>
  <c r="G18" i="6"/>
  <c r="H21" i="4" s="1"/>
  <c r="H17" i="4"/>
  <c r="E23" i="31720"/>
  <c r="I25" i="31720"/>
  <c r="K25" i="31720" s="1"/>
  <c r="AA193" i="31714"/>
  <c r="AJ186" i="31714"/>
  <c r="AJ193" i="31714" s="1"/>
  <c r="U11" i="31721"/>
  <c r="U12" i="31721"/>
  <c r="F23" i="31723"/>
  <c r="H21" i="31723" s="1"/>
  <c r="AV186" i="31714"/>
  <c r="AV193" i="31714" s="1"/>
  <c r="AN181" i="31714"/>
  <c r="AF186" i="31714"/>
  <c r="AF193" i="31714" s="1"/>
  <c r="AI186" i="31714"/>
  <c r="AI193" i="31714" s="1"/>
  <c r="U27" i="31721"/>
  <c r="W27" i="31721" s="1"/>
  <c r="AM189" i="31714"/>
  <c r="AG42" i="31725"/>
  <c r="E22" i="9"/>
  <c r="AN183" i="31714"/>
  <c r="AO186" i="31714"/>
  <c r="AO193" i="31714" s="1"/>
  <c r="AN189" i="31714"/>
  <c r="B50" i="4"/>
  <c r="O45" i="1488"/>
  <c r="AM181" i="31714"/>
  <c r="AM186" i="31714" s="1"/>
  <c r="K33" i="31720"/>
  <c r="E77" i="6"/>
  <c r="J17" i="4"/>
  <c r="AG34" i="31725"/>
  <c r="V45" i="31725"/>
  <c r="Z18" i="31725"/>
  <c r="C18" i="6"/>
  <c r="I65" i="6"/>
  <c r="AE193" i="31714"/>
  <c r="O29" i="8"/>
  <c r="AG25" i="31725"/>
  <c r="AI25" i="31725" s="1"/>
  <c r="H47" i="31725"/>
  <c r="AM183" i="31714"/>
  <c r="W15" i="1488"/>
  <c r="W19" i="1488" s="1"/>
  <c r="J45" i="31725"/>
  <c r="AB186" i="31714"/>
  <c r="AB193" i="31714" s="1"/>
  <c r="G19" i="8"/>
  <c r="AG37" i="31725"/>
  <c r="AI37" i="31725" s="1"/>
  <c r="J22" i="31712"/>
  <c r="L18" i="4"/>
  <c r="L31" i="4" s="1"/>
  <c r="L42" i="4" s="1"/>
  <c r="L54" i="4" s="1"/>
  <c r="AG36" i="31725"/>
  <c r="AI36" i="31725" s="1"/>
  <c r="S14" i="31722"/>
  <c r="S13" i="31721"/>
  <c r="N31" i="4"/>
  <c r="N42" i="4" s="1"/>
  <c r="N54" i="4" s="1"/>
  <c r="N58" i="4" s="1"/>
  <c r="E70" i="6"/>
  <c r="I70" i="6" s="1"/>
  <c r="M181" i="31720"/>
  <c r="E180" i="6"/>
  <c r="I180" i="6" s="1"/>
  <c r="M182" i="31720"/>
  <c r="E20" i="31720"/>
  <c r="C197" i="6"/>
  <c r="K29" i="8"/>
  <c r="K33" i="8" s="1"/>
  <c r="M31" i="8" s="1"/>
  <c r="C45" i="1488"/>
  <c r="J57" i="7"/>
  <c r="C20" i="6"/>
  <c r="B22" i="4" s="1"/>
  <c r="C11" i="6"/>
  <c r="B13" i="4" s="1"/>
  <c r="AE43" i="1488"/>
  <c r="W26" i="1488"/>
  <c r="AG40" i="31725"/>
  <c r="AI40" i="31725" s="1"/>
  <c r="D45" i="31725"/>
  <c r="K182" i="31720"/>
  <c r="E141" i="6"/>
  <c r="K143" i="31720"/>
  <c r="U46" i="31721"/>
  <c r="W46" i="31721" s="1"/>
  <c r="J47" i="7"/>
  <c r="P47" i="7" s="1"/>
  <c r="T47" i="7" s="1"/>
  <c r="T26" i="7"/>
  <c r="M45" i="1488"/>
  <c r="B24" i="4"/>
  <c r="E162" i="6"/>
  <c r="I162" i="6" s="1"/>
  <c r="K165" i="31720"/>
  <c r="E81" i="6"/>
  <c r="I81" i="6" s="1"/>
  <c r="K64" i="31720"/>
  <c r="E80" i="6"/>
  <c r="I80" i="6" s="1"/>
  <c r="E160" i="6"/>
  <c r="I160" i="6" s="1"/>
  <c r="K163" i="31720"/>
  <c r="E66" i="6"/>
  <c r="I66" i="6" s="1"/>
  <c r="K63" i="31720"/>
  <c r="E169" i="6"/>
  <c r="I169" i="6" s="1"/>
  <c r="K171" i="31720"/>
  <c r="E170" i="6"/>
  <c r="I170" i="6" s="1"/>
  <c r="K172" i="31720"/>
  <c r="E164" i="6"/>
  <c r="I164" i="6" s="1"/>
  <c r="E179" i="6"/>
  <c r="I179" i="6" s="1"/>
  <c r="K108" i="31720"/>
  <c r="E68" i="6"/>
  <c r="I68" i="6" s="1"/>
  <c r="AG30" i="31725"/>
  <c r="AI30" i="31725" s="1"/>
  <c r="W30" i="1488"/>
  <c r="AC30" i="1488" s="1"/>
  <c r="AG30" i="1488" s="1"/>
  <c r="D15" i="31712"/>
  <c r="G10" i="1488"/>
  <c r="M10" i="1488" s="1"/>
  <c r="S10" i="1488" s="1"/>
  <c r="Y10" i="1488" s="1"/>
  <c r="AE10" i="1488" s="1"/>
  <c r="N51" i="7"/>
  <c r="R51" i="7"/>
  <c r="R39" i="7"/>
  <c r="I23" i="8"/>
  <c r="I29" i="8" s="1"/>
  <c r="E140" i="6"/>
  <c r="I140" i="6" s="1"/>
  <c r="C29" i="31720"/>
  <c r="C37" i="31720" s="1"/>
  <c r="K117" i="31720"/>
  <c r="E108" i="6"/>
  <c r="I108" i="6" s="1"/>
  <c r="C85" i="31720"/>
  <c r="K174" i="31720"/>
  <c r="E172" i="6"/>
  <c r="I172" i="6" s="1"/>
  <c r="K177" i="31720"/>
  <c r="E84" i="6"/>
  <c r="I84" i="6" s="1"/>
  <c r="E98" i="6"/>
  <c r="I98" i="6" s="1"/>
  <c r="K121" i="31720"/>
  <c r="E122" i="6"/>
  <c r="K114" i="31720"/>
  <c r="K141" i="31720"/>
  <c r="K62" i="31720"/>
  <c r="K140" i="31720"/>
  <c r="E130" i="6"/>
  <c r="I130" i="6" s="1"/>
  <c r="I198" i="31720"/>
  <c r="K198" i="31720" s="1"/>
  <c r="F41" i="7"/>
  <c r="F44" i="7" s="1"/>
  <c r="F55" i="7" s="1"/>
  <c r="F9" i="7"/>
  <c r="L9" i="7" s="1"/>
  <c r="U48" i="31721"/>
  <c r="W48" i="31721" s="1"/>
  <c r="M19" i="31721"/>
  <c r="U47" i="31721"/>
  <c r="G49" i="31721"/>
  <c r="P28" i="7"/>
  <c r="T28" i="7" s="1"/>
  <c r="U22" i="31721"/>
  <c r="W22" i="31721" s="1"/>
  <c r="U29" i="31721"/>
  <c r="W29" i="31721" s="1"/>
  <c r="O43" i="31721"/>
  <c r="O53" i="31721" s="1"/>
  <c r="Q49" i="31721"/>
  <c r="P25" i="7"/>
  <c r="T25" i="7" s="1"/>
  <c r="G13" i="31721"/>
  <c r="P24" i="7"/>
  <c r="T24" i="7" s="1"/>
  <c r="P37" i="7"/>
  <c r="P39" i="7" s="1"/>
  <c r="W37" i="1488"/>
  <c r="AC37" i="1488" s="1"/>
  <c r="AG31" i="31725"/>
  <c r="AI31" i="31725" s="1"/>
  <c r="R45" i="31725"/>
  <c r="AG23" i="31725"/>
  <c r="AI23" i="31725" s="1"/>
  <c r="K43" i="31721"/>
  <c r="Q13" i="31721"/>
  <c r="U33" i="31721"/>
  <c r="W33" i="31721" s="1"/>
  <c r="U28" i="31721"/>
  <c r="W28" i="31721" s="1"/>
  <c r="U26" i="31721"/>
  <c r="W26" i="31721" s="1"/>
  <c r="U24" i="31721"/>
  <c r="W24" i="31721" s="1"/>
  <c r="U25" i="31721"/>
  <c r="W25" i="31721" s="1"/>
  <c r="U23" i="31721"/>
  <c r="W23" i="31721" s="1"/>
  <c r="E178" i="6"/>
  <c r="I178" i="6" s="1"/>
  <c r="E174" i="6"/>
  <c r="I174" i="6" s="1"/>
  <c r="E157" i="6"/>
  <c r="I157" i="6" s="1"/>
  <c r="G7" i="6"/>
  <c r="G94" i="6" s="1"/>
  <c r="E143" i="6"/>
  <c r="I143" i="6" s="1"/>
  <c r="E137" i="6"/>
  <c r="I137" i="6" s="1"/>
  <c r="K136" i="31720"/>
  <c r="E128" i="6"/>
  <c r="I128" i="6" s="1"/>
  <c r="K129" i="31720"/>
  <c r="K127" i="31720"/>
  <c r="E124" i="6"/>
  <c r="I124" i="6" s="1"/>
  <c r="E106" i="6"/>
  <c r="I106" i="6" s="1"/>
  <c r="E105" i="6"/>
  <c r="I105" i="6" s="1"/>
  <c r="K105" i="31720"/>
  <c r="E110" i="6"/>
  <c r="I110" i="6" s="1"/>
  <c r="E103" i="6"/>
  <c r="I103" i="6" s="1"/>
  <c r="E101" i="6"/>
  <c r="I101" i="6" s="1"/>
  <c r="E79" i="6"/>
  <c r="I79" i="6" s="1"/>
  <c r="K66" i="31720"/>
  <c r="K50" i="31720"/>
  <c r="P40" i="4"/>
  <c r="Y43" i="1488"/>
  <c r="Y45" i="1488" s="1"/>
  <c r="P29" i="7"/>
  <c r="T29" i="7" s="1"/>
  <c r="P13" i="7"/>
  <c r="T13" i="7" s="1"/>
  <c r="AC36" i="1488"/>
  <c r="F32" i="31712" s="1"/>
  <c r="AC31" i="1488"/>
  <c r="F27" i="31712" s="1"/>
  <c r="AK22" i="1488"/>
  <c r="I45" i="1488"/>
  <c r="AA43" i="1488"/>
  <c r="E33" i="8"/>
  <c r="G31" i="8" s="1"/>
  <c r="B26" i="4"/>
  <c r="N14" i="7"/>
  <c r="B41" i="7"/>
  <c r="B44" i="7" s="1"/>
  <c r="B55" i="7" s="1"/>
  <c r="B58" i="7" s="1"/>
  <c r="D57" i="7" s="1"/>
  <c r="N31" i="7"/>
  <c r="B23" i="4" s="1"/>
  <c r="N20" i="7"/>
  <c r="H15" i="4"/>
  <c r="C86" i="6"/>
  <c r="I56" i="1488"/>
  <c r="O56" i="1488" s="1"/>
  <c r="W34" i="1488"/>
  <c r="AC34" i="1488" s="1"/>
  <c r="F30" i="31712" s="1"/>
  <c r="AG32" i="31725"/>
  <c r="AI32" i="31725" s="1"/>
  <c r="Z43" i="31725"/>
  <c r="W29" i="1488"/>
  <c r="AC29" i="1488" s="1"/>
  <c r="AG29" i="1488" s="1"/>
  <c r="AG29" i="31725"/>
  <c r="AI29" i="31725" s="1"/>
  <c r="AE18" i="31725"/>
  <c r="AC33" i="1488"/>
  <c r="AG33" i="1488" s="1"/>
  <c r="AC27" i="1488"/>
  <c r="F24" i="31712" s="1"/>
  <c r="AG26" i="31725"/>
  <c r="AI26" i="31725" s="1"/>
  <c r="Q23" i="1488"/>
  <c r="AC23" i="1488" s="1"/>
  <c r="T43" i="31725"/>
  <c r="T18" i="31725"/>
  <c r="AG16" i="31725"/>
  <c r="AI16" i="31725" s="1"/>
  <c r="Q19" i="1488"/>
  <c r="AG39" i="31725"/>
  <c r="AI39" i="31725" s="1"/>
  <c r="AG38" i="31725"/>
  <c r="AI38" i="31725" s="1"/>
  <c r="AG33" i="31725"/>
  <c r="AI33" i="31725" s="1"/>
  <c r="AC43" i="31725"/>
  <c r="AG28" i="31725"/>
  <c r="AI28" i="31725" s="1"/>
  <c r="AC18" i="1488"/>
  <c r="AC18" i="31725"/>
  <c r="E40" i="1488"/>
  <c r="AC40" i="1488" s="1"/>
  <c r="F36" i="31712" s="1"/>
  <c r="AG24" i="31725"/>
  <c r="AI24" i="31725" s="1"/>
  <c r="F45" i="31725"/>
  <c r="AC39" i="1488"/>
  <c r="AG39" i="1488" s="1"/>
  <c r="AG35" i="31725"/>
  <c r="AI35" i="31725" s="1"/>
  <c r="AC35" i="1488"/>
  <c r="F31" i="31712" s="1"/>
  <c r="H43" i="31725"/>
  <c r="AC22" i="1488"/>
  <c r="F18" i="31712" s="1"/>
  <c r="L18" i="31712" s="1"/>
  <c r="AG17" i="31725"/>
  <c r="AI17" i="31725" s="1"/>
  <c r="H18" i="31725"/>
  <c r="AC17" i="1488"/>
  <c r="F13" i="31712" s="1"/>
  <c r="E15" i="1488"/>
  <c r="AG15" i="31725"/>
  <c r="AI15" i="31725" s="1"/>
  <c r="N18" i="31725"/>
  <c r="AG41" i="31725"/>
  <c r="AI41" i="31725" s="1"/>
  <c r="AC41" i="1488"/>
  <c r="F37" i="31712" s="1"/>
  <c r="AC38" i="1488"/>
  <c r="AG38" i="1488" s="1"/>
  <c r="AC32" i="1488"/>
  <c r="AG32" i="1488" s="1"/>
  <c r="AC28" i="1488"/>
  <c r="F19" i="31712" s="1"/>
  <c r="AE43" i="31725"/>
  <c r="AG27" i="31725"/>
  <c r="AI27" i="31725" s="1"/>
  <c r="AC24" i="1488"/>
  <c r="F21" i="31712" s="1"/>
  <c r="N43" i="31725"/>
  <c r="L45" i="31725"/>
  <c r="AG21" i="31725"/>
  <c r="K43" i="1488"/>
  <c r="K15" i="1488"/>
  <c r="S20" i="31722"/>
  <c r="G18" i="8"/>
  <c r="K21" i="31722"/>
  <c r="S18" i="31722"/>
  <c r="S21" i="31722" s="1"/>
  <c r="M30" i="31721"/>
  <c r="P30" i="7"/>
  <c r="T30" i="7" s="1"/>
  <c r="J31" i="7"/>
  <c r="Q19" i="31721"/>
  <c r="U17" i="31721"/>
  <c r="W17" i="31721" s="1"/>
  <c r="M13" i="31721"/>
  <c r="S30" i="31721"/>
  <c r="S19" i="31721"/>
  <c r="P18" i="7"/>
  <c r="T18" i="7" s="1"/>
  <c r="D12" i="7"/>
  <c r="P34" i="7"/>
  <c r="T34" i="7" s="1"/>
  <c r="Q30" i="31721"/>
  <c r="Q40" i="31721" s="1"/>
  <c r="G30" i="31721"/>
  <c r="D23" i="7"/>
  <c r="U18" i="31721"/>
  <c r="G19" i="31721"/>
  <c r="K162" i="31720"/>
  <c r="K158" i="31720"/>
  <c r="K135" i="31720"/>
  <c r="K134" i="31720"/>
  <c r="K128" i="31720"/>
  <c r="K113" i="31720"/>
  <c r="K112" i="31720"/>
  <c r="E100" i="6"/>
  <c r="I100" i="6" s="1"/>
  <c r="K99" i="31720"/>
  <c r="K74" i="31720"/>
  <c r="I15" i="31720"/>
  <c r="K15" i="31720" s="1"/>
  <c r="E59" i="6"/>
  <c r="I59" i="6" s="1"/>
  <c r="K52" i="31720"/>
  <c r="I53" i="31720"/>
  <c r="K53" i="31720" s="1"/>
  <c r="E195" i="6"/>
  <c r="I195" i="6" s="1"/>
  <c r="K179" i="31720"/>
  <c r="K173" i="31720"/>
  <c r="K169" i="31720"/>
  <c r="E163" i="6"/>
  <c r="I163" i="6" s="1"/>
  <c r="I183" i="31720"/>
  <c r="K159" i="31720"/>
  <c r="K137" i="31720"/>
  <c r="K133" i="31720"/>
  <c r="E129" i="6"/>
  <c r="I129" i="6" s="1"/>
  <c r="K125" i="31720"/>
  <c r="I146" i="31720"/>
  <c r="K122" i="31720"/>
  <c r="I118" i="31720"/>
  <c r="I83" i="31720"/>
  <c r="E13" i="6"/>
  <c r="D15" i="4" s="1"/>
  <c r="I73" i="6"/>
  <c r="K71" i="31720"/>
  <c r="I68" i="31720"/>
  <c r="G68" i="31720" s="1"/>
  <c r="E85" i="31720"/>
  <c r="I58" i="31720"/>
  <c r="E17" i="31720"/>
  <c r="K49" i="31720"/>
  <c r="E52" i="6"/>
  <c r="I52" i="6" s="1"/>
  <c r="S45" i="1488"/>
  <c r="G45" i="1488"/>
  <c r="AE19" i="1488"/>
  <c r="H15" i="31712"/>
  <c r="P16" i="4" s="1"/>
  <c r="P18" i="4" s="1"/>
  <c r="L41" i="7"/>
  <c r="L44" i="7" s="1"/>
  <c r="L55" i="7" s="1"/>
  <c r="T27" i="7"/>
  <c r="R31" i="7"/>
  <c r="J23" i="4" s="1"/>
  <c r="R20" i="7"/>
  <c r="J21" i="4" s="1"/>
  <c r="R14" i="7"/>
  <c r="P9" i="7"/>
  <c r="F24" i="4"/>
  <c r="H24" i="4"/>
  <c r="H22" i="4"/>
  <c r="F22" i="4"/>
  <c r="G197" i="6"/>
  <c r="H13" i="4"/>
  <c r="F13" i="4"/>
  <c r="H12" i="4"/>
  <c r="F12" i="4"/>
  <c r="G86" i="6"/>
  <c r="E152" i="6"/>
  <c r="E48" i="6"/>
  <c r="H21" i="31712"/>
  <c r="H37" i="31712"/>
  <c r="H24" i="31712"/>
  <c r="H19" i="31712"/>
  <c r="H20" i="31712"/>
  <c r="S30" i="31722"/>
  <c r="J14" i="7"/>
  <c r="Q30" i="31722"/>
  <c r="M13" i="8"/>
  <c r="AK23" i="1488"/>
  <c r="B16" i="4"/>
  <c r="I76" i="6"/>
  <c r="F16" i="4"/>
  <c r="H18" i="31712"/>
  <c r="N18" i="31712" s="1"/>
  <c r="P18" i="31712" s="1"/>
  <c r="F20" i="31712" l="1"/>
  <c r="AI23" i="1488"/>
  <c r="D39" i="31712"/>
  <c r="J18" i="31712"/>
  <c r="F57" i="31712"/>
  <c r="G20" i="9"/>
  <c r="G22" i="9" s="1"/>
  <c r="I20" i="9" s="1"/>
  <c r="I22" i="9" s="1"/>
  <c r="AI34" i="31725"/>
  <c r="AG51" i="31725"/>
  <c r="Y11" i="31721"/>
  <c r="X12" i="31721"/>
  <c r="J50" i="4"/>
  <c r="S40" i="31721"/>
  <c r="U40" i="31721" s="1"/>
  <c r="X11" i="31721"/>
  <c r="X18" i="31721"/>
  <c r="I122" i="6"/>
  <c r="L122" i="6"/>
  <c r="H14" i="4"/>
  <c r="H18" i="4" s="1"/>
  <c r="J18" i="4"/>
  <c r="I200" i="31720"/>
  <c r="K34" i="31720"/>
  <c r="H26" i="4"/>
  <c r="H29" i="4" s="1"/>
  <c r="R41" i="7"/>
  <c r="R44" i="7" s="1"/>
  <c r="R55" i="7" s="1"/>
  <c r="E31" i="6"/>
  <c r="I31" i="6" s="1"/>
  <c r="G24" i="6"/>
  <c r="L38" i="6" s="1"/>
  <c r="H23" i="31723"/>
  <c r="J21" i="31723" s="1"/>
  <c r="J23" i="31723" s="1"/>
  <c r="AM193" i="31714"/>
  <c r="E26" i="31720"/>
  <c r="E29" i="31720" s="1"/>
  <c r="E37" i="31720" s="1"/>
  <c r="G15" i="6"/>
  <c r="F18" i="4"/>
  <c r="W43" i="1488"/>
  <c r="W45" i="1488" s="1"/>
  <c r="AN186" i="31714"/>
  <c r="AN193" i="31714" s="1"/>
  <c r="H39" i="31712"/>
  <c r="I43" i="31721"/>
  <c r="I53" i="31721" s="1"/>
  <c r="M40" i="31721"/>
  <c r="M43" i="31721" s="1"/>
  <c r="P19" i="7"/>
  <c r="T19" i="7" s="1"/>
  <c r="G43" i="31721"/>
  <c r="G53" i="31721" s="1"/>
  <c r="C43" i="31721"/>
  <c r="C53" i="31721" s="1"/>
  <c r="M19" i="8"/>
  <c r="J20" i="7"/>
  <c r="J41" i="7" s="1"/>
  <c r="J44" i="7" s="1"/>
  <c r="Z45" i="31725"/>
  <c r="AG36" i="1488"/>
  <c r="P12" i="7"/>
  <c r="U12" i="7" s="1"/>
  <c r="W47" i="31721"/>
  <c r="M183" i="31720"/>
  <c r="K183" i="31720"/>
  <c r="AC26" i="1488"/>
  <c r="F23" i="31712" s="1"/>
  <c r="E43" i="1488"/>
  <c r="AC25" i="1488"/>
  <c r="F22" i="31712" s="1"/>
  <c r="J27" i="4"/>
  <c r="J29" i="4" s="1"/>
  <c r="P57" i="7"/>
  <c r="AA45" i="1488"/>
  <c r="E71" i="6"/>
  <c r="E12" i="6" s="1"/>
  <c r="D14" i="4" s="1"/>
  <c r="I55" i="1488"/>
  <c r="O55" i="1488" s="1"/>
  <c r="I54" i="1488"/>
  <c r="O54" i="1488" s="1"/>
  <c r="AG31" i="1488"/>
  <c r="E23" i="6"/>
  <c r="I23" i="6" s="1"/>
  <c r="R9" i="7"/>
  <c r="K24" i="31722"/>
  <c r="I21" i="31722"/>
  <c r="I24" i="31722" s="1"/>
  <c r="I30" i="31722" s="1"/>
  <c r="G53" i="31720"/>
  <c r="I24" i="31720"/>
  <c r="G24" i="31720" s="1"/>
  <c r="F21" i="4"/>
  <c r="B21" i="4"/>
  <c r="U13" i="31721"/>
  <c r="W13" i="31721" s="1"/>
  <c r="F33" i="31712"/>
  <c r="AG37" i="1488"/>
  <c r="F26" i="31712"/>
  <c r="F28" i="31712"/>
  <c r="AE45" i="31725"/>
  <c r="U30" i="31721"/>
  <c r="W30" i="31721" s="1"/>
  <c r="D14" i="7"/>
  <c r="G152" i="6"/>
  <c r="G48" i="6"/>
  <c r="I12" i="31720"/>
  <c r="K12" i="31720" s="1"/>
  <c r="F14" i="31712"/>
  <c r="D20" i="7"/>
  <c r="AG28" i="1488"/>
  <c r="N41" i="7"/>
  <c r="N44" i="7" s="1"/>
  <c r="N55" i="7" s="1"/>
  <c r="N58" i="7" s="1"/>
  <c r="E116" i="6"/>
  <c r="E85" i="6"/>
  <c r="E14" i="6" s="1"/>
  <c r="C24" i="6"/>
  <c r="AG34" i="1488"/>
  <c r="F25" i="31712"/>
  <c r="F29" i="31712"/>
  <c r="AG27" i="1488"/>
  <c r="Q43" i="1488"/>
  <c r="Q45" i="1488" s="1"/>
  <c r="T45" i="31725"/>
  <c r="AC45" i="31725"/>
  <c r="AG24" i="1488"/>
  <c r="AG18" i="1488"/>
  <c r="AG17" i="1488"/>
  <c r="AG40" i="1488"/>
  <c r="AG35" i="1488"/>
  <c r="AG23" i="1488"/>
  <c r="AG22" i="1488"/>
  <c r="AG41" i="1488"/>
  <c r="F35" i="31712"/>
  <c r="H45" i="31725"/>
  <c r="F10" i="31712"/>
  <c r="E19" i="1488"/>
  <c r="AG18" i="31725"/>
  <c r="D55" i="31725" s="1"/>
  <c r="N45" i="31725"/>
  <c r="F34" i="31712"/>
  <c r="AI21" i="31725"/>
  <c r="AG43" i="31725"/>
  <c r="F11" i="31712"/>
  <c r="AC15" i="1488"/>
  <c r="K19" i="1488"/>
  <c r="K45" i="1488" s="1"/>
  <c r="M18" i="8"/>
  <c r="G20" i="8"/>
  <c r="W11" i="31721"/>
  <c r="P23" i="7"/>
  <c r="D31" i="7"/>
  <c r="U19" i="31721"/>
  <c r="W18" i="31721"/>
  <c r="E196" i="6"/>
  <c r="I196" i="6" s="1"/>
  <c r="I13" i="6"/>
  <c r="G15" i="31720"/>
  <c r="E61" i="6"/>
  <c r="E56" i="6"/>
  <c r="E181" i="6"/>
  <c r="I181" i="6" s="1"/>
  <c r="I23" i="31720"/>
  <c r="G23" i="31720" s="1"/>
  <c r="E144" i="6"/>
  <c r="I144" i="6" s="1"/>
  <c r="I22" i="31720"/>
  <c r="K146" i="31720"/>
  <c r="K118" i="31720"/>
  <c r="I20" i="31720"/>
  <c r="G20" i="31720" s="1"/>
  <c r="I16" i="31720"/>
  <c r="K83" i="31720"/>
  <c r="G83" i="31720"/>
  <c r="I14" i="31720"/>
  <c r="K68" i="31720"/>
  <c r="I85" i="31720"/>
  <c r="K85" i="31720" s="1"/>
  <c r="I13" i="31720"/>
  <c r="K13" i="31720" s="1"/>
  <c r="K58" i="31720"/>
  <c r="C54" i="1488"/>
  <c r="C55" i="1488"/>
  <c r="C56" i="1488"/>
  <c r="F23" i="4"/>
  <c r="C15" i="6"/>
  <c r="B12" i="4"/>
  <c r="AE45" i="1488"/>
  <c r="D17" i="4" l="1"/>
  <c r="S43" i="31721"/>
  <c r="I116" i="6"/>
  <c r="L116" i="6"/>
  <c r="D61" i="7"/>
  <c r="AI43" i="31725"/>
  <c r="AG49" i="31725"/>
  <c r="R18" i="4"/>
  <c r="J31" i="4"/>
  <c r="J42" i="4" s="1"/>
  <c r="J54" i="4" s="1"/>
  <c r="D41" i="7"/>
  <c r="D44" i="7" s="1"/>
  <c r="G26" i="6"/>
  <c r="G34" i="6" s="1"/>
  <c r="T12" i="7"/>
  <c r="C26" i="6"/>
  <c r="C34" i="6" s="1"/>
  <c r="I56" i="6"/>
  <c r="E10" i="6"/>
  <c r="D12" i="4" s="1"/>
  <c r="E11" i="6"/>
  <c r="D13" i="4" s="1"/>
  <c r="F39" i="31712"/>
  <c r="D25" i="4" s="1"/>
  <c r="U41" i="7"/>
  <c r="P20" i="7"/>
  <c r="T20" i="7" s="1"/>
  <c r="Q43" i="31721"/>
  <c r="Q53" i="31721" s="1"/>
  <c r="L22" i="31712"/>
  <c r="P14" i="7"/>
  <c r="T14" i="7" s="1"/>
  <c r="B25" i="4"/>
  <c r="B29" i="4" s="1"/>
  <c r="K200" i="31720"/>
  <c r="AC43" i="1488"/>
  <c r="AG43" i="1488" s="1"/>
  <c r="AG26" i="1488"/>
  <c r="E45" i="1488"/>
  <c r="AG25" i="1488"/>
  <c r="B18" i="4"/>
  <c r="G12" i="31720"/>
  <c r="C57" i="1488"/>
  <c r="I71" i="6"/>
  <c r="G13" i="31720"/>
  <c r="I14" i="6"/>
  <c r="I85" i="6"/>
  <c r="D41" i="31712"/>
  <c r="D52" i="31712" s="1"/>
  <c r="H31" i="4"/>
  <c r="H42" i="4" s="1"/>
  <c r="E18" i="6"/>
  <c r="I18" i="6" s="1"/>
  <c r="E86" i="6"/>
  <c r="D54" i="31725"/>
  <c r="F15" i="31712"/>
  <c r="D53" i="31725"/>
  <c r="D16" i="4"/>
  <c r="AI18" i="31725"/>
  <c r="AG45" i="31725"/>
  <c r="AI45" i="31725" s="1"/>
  <c r="AG15" i="1488"/>
  <c r="AC19" i="1488"/>
  <c r="G23" i="8"/>
  <c r="T23" i="7"/>
  <c r="P31" i="7"/>
  <c r="W19" i="31721"/>
  <c r="E22" i="6"/>
  <c r="I22" i="6" s="1"/>
  <c r="I61" i="6"/>
  <c r="I191" i="6"/>
  <c r="E21" i="6"/>
  <c r="I21" i="6" s="1"/>
  <c r="K23" i="31720"/>
  <c r="E197" i="6"/>
  <c r="E20" i="6"/>
  <c r="I20" i="6" s="1"/>
  <c r="G22" i="31720"/>
  <c r="K22" i="31720"/>
  <c r="K20" i="31720"/>
  <c r="I26" i="31720"/>
  <c r="K26" i="31720" s="1"/>
  <c r="I17" i="31720"/>
  <c r="K16" i="31720"/>
  <c r="G16" i="31720"/>
  <c r="G85" i="31720"/>
  <c r="G14" i="31720"/>
  <c r="K14" i="31720"/>
  <c r="P25" i="4"/>
  <c r="P29" i="4" s="1"/>
  <c r="F25" i="4"/>
  <c r="F29" i="4" s="1"/>
  <c r="F31" i="4" s="1"/>
  <c r="F42" i="4" s="1"/>
  <c r="H41" i="31712"/>
  <c r="H52" i="31712" s="1"/>
  <c r="I12" i="6"/>
  <c r="P41" i="7" l="1"/>
  <c r="I197" i="6"/>
  <c r="E199" i="6"/>
  <c r="I86" i="6"/>
  <c r="J86" i="6"/>
  <c r="I11" i="6"/>
  <c r="D59" i="31712"/>
  <c r="C38" i="6"/>
  <c r="B31" i="4"/>
  <c r="D24" i="4"/>
  <c r="D21" i="4"/>
  <c r="I10" i="6"/>
  <c r="E15" i="6"/>
  <c r="J15" i="6" s="1"/>
  <c r="F41" i="31712"/>
  <c r="D56" i="31725"/>
  <c r="D18" i="4"/>
  <c r="AC45" i="1488"/>
  <c r="AG19" i="1488"/>
  <c r="D23" i="4"/>
  <c r="T31" i="7"/>
  <c r="W40" i="31721"/>
  <c r="U43" i="31721"/>
  <c r="D26" i="4"/>
  <c r="G26" i="31720"/>
  <c r="E24" i="6"/>
  <c r="D22" i="4"/>
  <c r="I29" i="31720"/>
  <c r="I37" i="31720" s="1"/>
  <c r="K17" i="31720"/>
  <c r="G17" i="31720"/>
  <c r="R29" i="4"/>
  <c r="P31" i="4"/>
  <c r="P42" i="4" s="1"/>
  <c r="J41" i="31712" l="1"/>
  <c r="K24" i="6"/>
  <c r="J24" i="6"/>
  <c r="F52" i="31712"/>
  <c r="F59" i="31712" s="1"/>
  <c r="F63" i="31712" s="1"/>
  <c r="B42" i="4"/>
  <c r="B54" i="4" s="1"/>
  <c r="B58" i="4" s="1"/>
  <c r="D63" i="31712"/>
  <c r="AG45" i="1488"/>
  <c r="AC52" i="1488"/>
  <c r="I24" i="6"/>
  <c r="K38" i="6"/>
  <c r="E36" i="6"/>
  <c r="K37" i="31720"/>
  <c r="I15" i="6"/>
  <c r="T41" i="7"/>
  <c r="P44" i="7"/>
  <c r="D29" i="4"/>
  <c r="D31" i="4" s="1"/>
  <c r="D42" i="4" s="1"/>
  <c r="W43" i="31721"/>
  <c r="G29" i="31720"/>
  <c r="G37" i="31720" s="1"/>
  <c r="E26" i="6"/>
  <c r="E34" i="6" s="1"/>
  <c r="M27" i="31720"/>
  <c r="K29" i="31720"/>
  <c r="D67" i="31712" l="1"/>
  <c r="I26" i="6"/>
  <c r="T44" i="7"/>
  <c r="B60" i="4" l="1"/>
  <c r="B62" i="4" s="1"/>
  <c r="F65" i="31712"/>
  <c r="F67" i="31712" s="1"/>
  <c r="E38" i="6"/>
  <c r="G36" i="6" s="1"/>
  <c r="D56" i="4" l="1"/>
  <c r="H65" i="31712"/>
  <c r="I36" i="6"/>
  <c r="P56" i="4" l="1"/>
  <c r="H56" i="4"/>
  <c r="P49" i="4" l="1"/>
  <c r="P50" i="4" s="1"/>
  <c r="P54" i="4" s="1"/>
  <c r="P58" i="4" s="1"/>
  <c r="I30" i="6"/>
  <c r="H59" i="31712" l="1"/>
  <c r="I34" i="6"/>
  <c r="H48" i="4"/>
  <c r="H50" i="4" s="1"/>
  <c r="H54" i="4" s="1"/>
  <c r="H58" i="4" s="1"/>
  <c r="H63" i="31712" l="1"/>
  <c r="H67" i="31712" s="1"/>
  <c r="F50" i="4"/>
  <c r="F54" i="4" s="1"/>
  <c r="G38" i="6"/>
  <c r="I38" i="6" l="1"/>
  <c r="K27" i="31722" l="1"/>
  <c r="G26" i="8" s="1"/>
  <c r="M49" i="31721"/>
  <c r="M53" i="31721" s="1"/>
  <c r="S49" i="31721"/>
  <c r="S53" i="31721" s="1"/>
  <c r="K49" i="31721"/>
  <c r="K53" i="31721" s="1"/>
  <c r="M29" i="8"/>
  <c r="M33" i="8" s="1"/>
  <c r="O31" i="8" s="1"/>
  <c r="O33" i="8" s="1"/>
  <c r="J61" i="7" l="1"/>
  <c r="G29" i="8"/>
  <c r="M26" i="8"/>
  <c r="K30" i="31722"/>
  <c r="U49" i="31721"/>
  <c r="U53" i="31721" s="1"/>
  <c r="W53" i="31721" l="1"/>
  <c r="G33" i="8"/>
  <c r="I31" i="8" s="1"/>
  <c r="W49" i="31721"/>
  <c r="I33" i="8" l="1"/>
  <c r="L56" i="4"/>
  <c r="L58" i="4" s="1"/>
  <c r="P51" i="7" l="1"/>
  <c r="P55" i="7" s="1"/>
  <c r="P61" i="7" s="1"/>
  <c r="J51" i="7"/>
  <c r="J55" i="7" s="1"/>
  <c r="D51" i="7"/>
  <c r="D55" i="7" s="1"/>
  <c r="P63" i="7" l="1"/>
  <c r="J58" i="7"/>
  <c r="L57" i="7" s="1"/>
  <c r="L58" i="7" s="1"/>
  <c r="J63" i="7"/>
  <c r="D58" i="7"/>
  <c r="F57" i="7" s="1"/>
  <c r="F58" i="7" s="1"/>
  <c r="D65" i="7"/>
  <c r="D50" i="4"/>
  <c r="T55" i="7"/>
  <c r="P58" i="7"/>
  <c r="D60" i="4" s="1"/>
  <c r="D54" i="4" l="1"/>
  <c r="R57" i="7"/>
  <c r="F56" i="4" s="1"/>
  <c r="F58" i="4" s="1"/>
  <c r="D58" i="4" l="1"/>
  <c r="D62" i="4" s="1"/>
  <c r="J56" i="4"/>
  <c r="J58" i="4" s="1"/>
  <c r="R58" i="4" s="1"/>
  <c r="T57" i="7"/>
  <c r="R58" i="7"/>
  <c r="F60" i="4" s="1"/>
  <c r="T58" i="7" l="1"/>
  <c r="F62" i="4"/>
</calcChain>
</file>

<file path=xl/comments1.xml><?xml version="1.0" encoding="utf-8"?>
<comments xmlns="http://schemas.openxmlformats.org/spreadsheetml/2006/main">
  <authors>
    <author>A satisfied Microsoft Office User</author>
  </authors>
  <commentList>
    <comment ref="AT181" authorId="0" shapeId="0">
      <text>
        <r>
          <rPr>
            <sz val="8"/>
            <color indexed="81"/>
            <rFont val="Tahoma"/>
            <family val="2"/>
          </rPr>
          <t>Formula failed to convert</t>
        </r>
      </text>
    </comment>
    <comment ref="AT183" authorId="0" shapeId="0">
      <text>
        <r>
          <rPr>
            <sz val="8"/>
            <color indexed="81"/>
            <rFont val="Tahoma"/>
            <family val="2"/>
          </rPr>
          <t>Formula failed to convert</t>
        </r>
      </text>
    </comment>
    <comment ref="AT189" authorId="0" shapeId="0">
      <text>
        <r>
          <rPr>
            <sz val="8"/>
            <color indexed="81"/>
            <rFont val="Tahoma"/>
            <family val="2"/>
          </rPr>
          <t>Formula failed to convert</t>
        </r>
      </text>
    </comment>
  </commentList>
</comments>
</file>

<file path=xl/comments2.xml><?xml version="1.0" encoding="utf-8"?>
<comments xmlns="http://schemas.openxmlformats.org/spreadsheetml/2006/main">
  <authors>
    <author>A satisfied Microsoft Office User</author>
  </authors>
  <commentList>
    <comment ref="AI192" authorId="0" shapeId="0">
      <text>
        <r>
          <rPr>
            <sz val="8"/>
            <color indexed="81"/>
            <rFont val="Tahoma"/>
            <family val="2"/>
          </rPr>
          <t>Formula failed to convert</t>
        </r>
      </text>
    </comment>
    <comment ref="AI194" authorId="0" shapeId="0">
      <text>
        <r>
          <rPr>
            <sz val="8"/>
            <color indexed="81"/>
            <rFont val="Tahoma"/>
            <family val="2"/>
          </rPr>
          <t>Formula failed to convert</t>
        </r>
      </text>
    </comment>
    <comment ref="AI200" authorId="0" shapeId="0">
      <text>
        <r>
          <rPr>
            <sz val="8"/>
            <color indexed="81"/>
            <rFont val="Tahoma"/>
            <family val="2"/>
          </rPr>
          <t>Formula failed to convert</t>
        </r>
      </text>
    </comment>
  </commentList>
</comments>
</file>

<file path=xl/comments3.xml><?xml version="1.0" encoding="utf-8"?>
<comments xmlns="http://schemas.openxmlformats.org/spreadsheetml/2006/main">
  <authors>
    <author>Christine Doucet</author>
  </authors>
  <commentList>
    <comment ref="M55" authorId="0" shapeId="0">
      <text>
        <r>
          <rPr>
            <b/>
            <sz val="9"/>
            <color indexed="81"/>
            <rFont val="Tahoma"/>
            <family val="2"/>
          </rPr>
          <t>Christine Doucet:</t>
        </r>
        <r>
          <rPr>
            <sz val="9"/>
            <color indexed="81"/>
            <rFont val="Tahoma"/>
            <family val="2"/>
          </rPr>
          <t xml:space="preserve">
-1
</t>
        </r>
      </text>
    </comment>
  </commentList>
</comments>
</file>

<file path=xl/comments4.xml><?xml version="1.0" encoding="utf-8"?>
<comments xmlns="http://schemas.openxmlformats.org/spreadsheetml/2006/main">
  <authors>
    <author>Christine Doucet</author>
  </authors>
  <commentList>
    <comment ref="E130" authorId="0" shapeId="0">
      <text>
        <r>
          <rPr>
            <b/>
            <sz val="9"/>
            <color indexed="81"/>
            <rFont val="Tahoma"/>
            <family val="2"/>
          </rPr>
          <t>Christine Doucet:</t>
        </r>
        <r>
          <rPr>
            <sz val="9"/>
            <color indexed="81"/>
            <rFont val="Tahoma"/>
            <family val="2"/>
          </rPr>
          <t xml:space="preserve">
-4940 for printer/scanner-1950 copier
</t>
        </r>
      </text>
    </comment>
    <comment ref="E190" authorId="0" shapeId="0">
      <text>
        <r>
          <rPr>
            <b/>
            <sz val="9"/>
            <color indexed="81"/>
            <rFont val="Tahoma"/>
            <family val="2"/>
          </rPr>
          <t>Christine Doucet:</t>
        </r>
        <r>
          <rPr>
            <sz val="9"/>
            <color indexed="81"/>
            <rFont val="Tahoma"/>
            <family val="2"/>
          </rPr>
          <t xml:space="preserve">
+4940
</t>
        </r>
      </text>
    </comment>
  </commentList>
</comments>
</file>

<file path=xl/comments5.xml><?xml version="1.0" encoding="utf-8"?>
<comments xmlns="http://schemas.openxmlformats.org/spreadsheetml/2006/main">
  <authors>
    <author>Christine Doucet</author>
  </authors>
  <commentList>
    <comment ref="V34" authorId="0" shapeId="0">
      <text>
        <r>
          <rPr>
            <b/>
            <sz val="9"/>
            <color indexed="81"/>
            <rFont val="Tahoma"/>
            <charset val="1"/>
          </rPr>
          <t>Christine Doucet:</t>
        </r>
        <r>
          <rPr>
            <sz val="9"/>
            <color indexed="81"/>
            <rFont val="Tahoma"/>
            <charset val="1"/>
          </rPr>
          <t xml:space="preserve">
-5490 for computers</t>
        </r>
      </text>
    </comment>
    <comment ref="P39" authorId="0" shapeId="0">
      <text>
        <r>
          <rPr>
            <b/>
            <sz val="9"/>
            <color indexed="81"/>
            <rFont val="Tahoma"/>
            <family val="2"/>
          </rPr>
          <t>Christine Doucet:</t>
        </r>
        <r>
          <rPr>
            <sz val="9"/>
            <color indexed="81"/>
            <rFont val="Tahoma"/>
            <family val="2"/>
          </rPr>
          <t xml:space="preserve">
-14360 for LCDBG grant
</t>
        </r>
      </text>
    </comment>
    <comment ref="F41" authorId="0" shapeId="0">
      <text>
        <r>
          <rPr>
            <b/>
            <sz val="9"/>
            <color indexed="81"/>
            <rFont val="Tahoma"/>
            <family val="2"/>
          </rPr>
          <t>Christine Doucet:</t>
        </r>
        <r>
          <rPr>
            <sz val="9"/>
            <color indexed="81"/>
            <rFont val="Tahoma"/>
            <family val="2"/>
          </rPr>
          <t xml:space="preserve">
-1900
</t>
        </r>
      </text>
    </comment>
    <comment ref="L41" authorId="0" shapeId="0">
      <text>
        <r>
          <rPr>
            <b/>
            <sz val="9"/>
            <color indexed="81"/>
            <rFont val="Tahoma"/>
            <family val="2"/>
          </rPr>
          <t>Christine Doucet:</t>
        </r>
        <r>
          <rPr>
            <sz val="9"/>
            <color indexed="81"/>
            <rFont val="Tahoma"/>
            <family val="2"/>
          </rPr>
          <t xml:space="preserve">
+21500
</t>
        </r>
      </text>
    </comment>
    <comment ref="R41" authorId="0" shapeId="0">
      <text>
        <r>
          <rPr>
            <b/>
            <sz val="9"/>
            <color indexed="81"/>
            <rFont val="Tahoma"/>
            <family val="2"/>
          </rPr>
          <t>Christine Doucet:</t>
        </r>
        <r>
          <rPr>
            <sz val="9"/>
            <color indexed="81"/>
            <rFont val="Tahoma"/>
            <family val="2"/>
          </rPr>
          <t xml:space="preserve">
-600</t>
        </r>
      </text>
    </comment>
    <comment ref="J54" authorId="0" shapeId="0">
      <text>
        <r>
          <rPr>
            <b/>
            <sz val="9"/>
            <color indexed="81"/>
            <rFont val="Tahoma"/>
            <family val="2"/>
          </rPr>
          <t>Christine Doucet:</t>
        </r>
        <r>
          <rPr>
            <sz val="9"/>
            <color indexed="81"/>
            <rFont val="Tahoma"/>
            <family val="2"/>
          </rPr>
          <t xml:space="preserve">
+.05
</t>
        </r>
      </text>
    </comment>
  </commentList>
</comments>
</file>

<file path=xl/sharedStrings.xml><?xml version="1.0" encoding="utf-8"?>
<sst xmlns="http://schemas.openxmlformats.org/spreadsheetml/2006/main" count="1302" uniqueCount="577">
  <si>
    <t>Revenues:</t>
  </si>
  <si>
    <t xml:space="preserve">  Taxes</t>
  </si>
  <si>
    <t xml:space="preserve">  Licenses and permits</t>
  </si>
  <si>
    <t xml:space="preserve">  Intergovernmental</t>
  </si>
  <si>
    <t xml:space="preserve">  Fines and forfeits</t>
  </si>
  <si>
    <t xml:space="preserve">  Miscellaneous</t>
  </si>
  <si>
    <t xml:space="preserve">     Total revenues</t>
  </si>
  <si>
    <t>Expenditures:</t>
  </si>
  <si>
    <t xml:space="preserve">  General government</t>
  </si>
  <si>
    <t xml:space="preserve">  Public safety - police</t>
  </si>
  <si>
    <t xml:space="preserve">  Highways and streets</t>
  </si>
  <si>
    <t xml:space="preserve">  Culture and recreation</t>
  </si>
  <si>
    <t xml:space="preserve">  Utility Fund expenses</t>
  </si>
  <si>
    <t xml:space="preserve">  Debt service</t>
  </si>
  <si>
    <t xml:space="preserve">      Total expenditures</t>
  </si>
  <si>
    <t>Nonoperating revenues (expenses):</t>
  </si>
  <si>
    <t>Other financing sources (uses):</t>
  </si>
  <si>
    <t xml:space="preserve">      Total other financing sources (uses)</t>
  </si>
  <si>
    <t xml:space="preserve">        other sources over expenditures</t>
  </si>
  <si>
    <t xml:space="preserve"> </t>
  </si>
  <si>
    <t>BUDGET</t>
  </si>
  <si>
    <t>Page</t>
  </si>
  <si>
    <t>Budget message</t>
  </si>
  <si>
    <t>-</t>
  </si>
  <si>
    <t>Consolidated budget</t>
  </si>
  <si>
    <t>1</t>
  </si>
  <si>
    <t>Capital outlay budget request</t>
  </si>
  <si>
    <t>2</t>
  </si>
  <si>
    <t>General Fund -</t>
  </si>
  <si>
    <t xml:space="preserve">    Budget</t>
  </si>
  <si>
    <t>3</t>
  </si>
  <si>
    <t xml:space="preserve">    Revenue summary</t>
  </si>
  <si>
    <t>4</t>
  </si>
  <si>
    <t xml:space="preserve">    Summary of expenditures </t>
  </si>
  <si>
    <t>5 - 6</t>
  </si>
  <si>
    <t xml:space="preserve">  1966 and 1996 Sales Tax Funds -</t>
  </si>
  <si>
    <t xml:space="preserve">    Combining statement of revenues and expenditures</t>
  </si>
  <si>
    <t>7</t>
  </si>
  <si>
    <t xml:space="preserve">  Combining statement of revenues and expenditures</t>
  </si>
  <si>
    <t>8</t>
  </si>
  <si>
    <t>Utility Fund (combined utility -</t>
  </si>
  <si>
    <t xml:space="preserve">  gas, water, and sewer) -</t>
  </si>
  <si>
    <t xml:space="preserve">    Departmental utility fund analysis</t>
  </si>
  <si>
    <t>{SERVICES}f{ESCAPE}psnupart1~qagsnupart2</t>
  </si>
  <si>
    <t>~qgsnupart3~qpgpsnupart4~qagq</t>
  </si>
  <si>
    <t>TOWN OF PORT BARRE, LOUISIANA</t>
  </si>
  <si>
    <t xml:space="preserve">  SCHEDULE OF UTILITY INCOME(LOSS) PER CUSTOMER PER MONTH</t>
  </si>
  <si>
    <t>|::</t>
  </si>
  <si>
    <t>GAS Dept.</t>
  </si>
  <si>
    <t>WATER Dept.</t>
  </si>
  <si>
    <t>SEWER Dept.</t>
  </si>
  <si>
    <t>TOTALS</t>
  </si>
  <si>
    <t xml:space="preserve">  Year ended September 30,</t>
  </si>
  <si>
    <t>1992</t>
  </si>
  <si>
    <t>1991</t>
  </si>
  <si>
    <t>1990</t>
  </si>
  <si>
    <t>-----</t>
  </si>
  <si>
    <t>APPROXIMATE NUMBER</t>
  </si>
  <si>
    <t xml:space="preserve">      OF CUSTOMERS</t>
  </si>
  <si>
    <t>AMTS PER CUSTOMER PER MONTH-</t>
  </si>
  <si>
    <t xml:space="preserve">    INCOME</t>
  </si>
  <si>
    <t xml:space="preserve">   OPERATING COSTS</t>
  </si>
  <si>
    <t>------</t>
  </si>
  <si>
    <t xml:space="preserve"> OPERATING INCOME (L0SS)</t>
  </si>
  <si>
    <t xml:space="preserve">    DEPRECIATION INCLUDED IN</t>
  </si>
  <si>
    <t xml:space="preserve">    OPERATING INCOME (LOSS)</t>
  </si>
  <si>
    <t xml:space="preserve">      WITHOUT DEPRECIATION</t>
  </si>
  <si>
    <t>======</t>
  </si>
  <si>
    <t>=</t>
  </si>
  <si>
    <t>**Found on V924 to AN960 of TPBBUDGE.WK1**</t>
  </si>
  <si>
    <t>{?}{down}</t>
  </si>
  <si>
    <t>{branch \e}</t>
  </si>
  <si>
    <t>Page  1</t>
  </si>
  <si>
    <t>Special</t>
  </si>
  <si>
    <t>Debt</t>
  </si>
  <si>
    <t>Capital</t>
  </si>
  <si>
    <t>General</t>
  </si>
  <si>
    <t>Revenue</t>
  </si>
  <si>
    <t>Service</t>
  </si>
  <si>
    <t>Projects</t>
  </si>
  <si>
    <t>Utility</t>
  </si>
  <si>
    <t>Actual</t>
  </si>
  <si>
    <t>Estimated</t>
  </si>
  <si>
    <t>Budget</t>
  </si>
  <si>
    <t>Fund</t>
  </si>
  <si>
    <t>Funds</t>
  </si>
  <si>
    <t xml:space="preserve">      Excess (deficiency) of revenues </t>
  </si>
  <si>
    <t xml:space="preserve">        expenditures and other uses</t>
  </si>
  <si>
    <t>Total</t>
  </si>
  <si>
    <t>Cost</t>
  </si>
  <si>
    <t>Anticipated</t>
  </si>
  <si>
    <t>Incurred</t>
  </si>
  <si>
    <t>Completion</t>
  </si>
  <si>
    <t>Description</t>
  </si>
  <si>
    <t>Date</t>
  </si>
  <si>
    <t>Method of Financing</t>
  </si>
  <si>
    <t xml:space="preserve">       Year Ended September 30,</t>
  </si>
  <si>
    <t xml:space="preserve">      Total revenues</t>
  </si>
  <si>
    <t xml:space="preserve">   Public safety -</t>
  </si>
  <si>
    <t xml:space="preserve">    Police</t>
  </si>
  <si>
    <t xml:space="preserve">  Capital outlay</t>
  </si>
  <si>
    <t xml:space="preserve">            </t>
  </si>
  <si>
    <t>Other financing sources:</t>
  </si>
  <si>
    <t xml:space="preserve">        sources over expenditures</t>
  </si>
  <si>
    <t>Fund balance, ending</t>
  </si>
  <si>
    <t xml:space="preserve">      Year Ended September 30,</t>
  </si>
  <si>
    <t xml:space="preserve">    Ad valorem (property)</t>
  </si>
  <si>
    <t xml:space="preserve">    Utility franchise - electric</t>
  </si>
  <si>
    <t xml:space="preserve">      and cable TV</t>
  </si>
  <si>
    <t xml:space="preserve">        Total taxes</t>
  </si>
  <si>
    <t xml:space="preserve">  Licenses and permits:</t>
  </si>
  <si>
    <t xml:space="preserve">    Occupational licenses</t>
  </si>
  <si>
    <t xml:space="preserve">        Total licenses and permits</t>
  </si>
  <si>
    <t xml:space="preserve">  Intergovernmental:</t>
  </si>
  <si>
    <t xml:space="preserve">    State of Louisiana -</t>
  </si>
  <si>
    <t xml:space="preserve">      Beer taxes</t>
  </si>
  <si>
    <t xml:space="preserve">    St. Landry Parish Housing Authority</t>
  </si>
  <si>
    <t xml:space="preserve">        Total intergovernmental</t>
  </si>
  <si>
    <t xml:space="preserve">  Miscellaneous:</t>
  </si>
  <si>
    <t xml:space="preserve">    Rent </t>
  </si>
  <si>
    <t xml:space="preserve">    Parks and recreation</t>
  </si>
  <si>
    <t xml:space="preserve">        Total miscellaneous</t>
  </si>
  <si>
    <t xml:space="preserve">       </t>
  </si>
  <si>
    <t xml:space="preserve">  General government -</t>
  </si>
  <si>
    <t xml:space="preserve">    Mayor's expense allowance</t>
  </si>
  <si>
    <t xml:space="preserve">    Payroll taxes</t>
  </si>
  <si>
    <t xml:space="preserve">    Group insurance</t>
  </si>
  <si>
    <t xml:space="preserve">    Insurance</t>
  </si>
  <si>
    <t xml:space="preserve">    Professional fees</t>
  </si>
  <si>
    <t xml:space="preserve">    Dues and subscriptions</t>
  </si>
  <si>
    <t xml:space="preserve">    Advertising</t>
  </si>
  <si>
    <t xml:space="preserve">    Coroner's fees</t>
  </si>
  <si>
    <t xml:space="preserve">    Preparation of tax roll</t>
  </si>
  <si>
    <t xml:space="preserve">    Miscellaneous</t>
  </si>
  <si>
    <t xml:space="preserve">      Total general government</t>
  </si>
  <si>
    <t xml:space="preserve">  Public safety - police -</t>
  </si>
  <si>
    <t xml:space="preserve">    Salaries</t>
  </si>
  <si>
    <t xml:space="preserve">    Electricity</t>
  </si>
  <si>
    <t xml:space="preserve">  Highways and streets -</t>
  </si>
  <si>
    <t xml:space="preserve">      Total highways and streets</t>
  </si>
  <si>
    <t>Capital outlay:</t>
  </si>
  <si>
    <t xml:space="preserve">  Public safety -</t>
  </si>
  <si>
    <t>COMBINING STATEMENT OF REVENUES AND EXPENDITURES</t>
  </si>
  <si>
    <t xml:space="preserve">                                                              </t>
  </si>
  <si>
    <t xml:space="preserve">  Sales tax</t>
  </si>
  <si>
    <t xml:space="preserve">    Sales tax collection fee </t>
  </si>
  <si>
    <t xml:space="preserve">    Utilities for street lights</t>
  </si>
  <si>
    <t xml:space="preserve">     City park</t>
  </si>
  <si>
    <t xml:space="preserve">        Total capital outlay</t>
  </si>
  <si>
    <t xml:space="preserve">        over expenditures</t>
  </si>
  <si>
    <t>Fund balance, beginning</t>
  </si>
  <si>
    <t xml:space="preserve">          1996 Sales Tax Bonds and</t>
  </si>
  <si>
    <t xml:space="preserve">        Certificates of Indebtedness</t>
  </si>
  <si>
    <t xml:space="preserve">  Miscellaneous -</t>
  </si>
  <si>
    <t xml:space="preserve">    Interest on deposits</t>
  </si>
  <si>
    <t xml:space="preserve">  Debt service -</t>
  </si>
  <si>
    <t xml:space="preserve">    Principal payment</t>
  </si>
  <si>
    <t xml:space="preserve">    Interest</t>
  </si>
  <si>
    <t xml:space="preserve">    Paying agent fees</t>
  </si>
  <si>
    <t xml:space="preserve">      Total debt service</t>
  </si>
  <si>
    <t xml:space="preserve">      Excess (deficiency) of revenues and </t>
  </si>
  <si>
    <t xml:space="preserve">    Total revenues</t>
  </si>
  <si>
    <t xml:space="preserve">  Capital outlay -</t>
  </si>
  <si>
    <t>Operating revenues:</t>
  </si>
  <si>
    <t xml:space="preserve">  Gas sales</t>
  </si>
  <si>
    <t xml:space="preserve">  Water sales</t>
  </si>
  <si>
    <t xml:space="preserve">  Sewer service charges</t>
  </si>
  <si>
    <t xml:space="preserve">  Connection charges</t>
  </si>
  <si>
    <t xml:space="preserve">    Total operating revenues</t>
  </si>
  <si>
    <t>Operating expenses:</t>
  </si>
  <si>
    <t xml:space="preserve">  Salaries</t>
  </si>
  <si>
    <t xml:space="preserve">  Payroll taxes</t>
  </si>
  <si>
    <t xml:space="preserve">  Group insurance</t>
  </si>
  <si>
    <t xml:space="preserve">  Gas purchased</t>
  </si>
  <si>
    <t xml:space="preserve">  Water and sewer chemicals</t>
  </si>
  <si>
    <t xml:space="preserve">  Truck expense</t>
  </si>
  <si>
    <t xml:space="preserve">  Electricity</t>
  </si>
  <si>
    <t xml:space="preserve">  Telephone</t>
  </si>
  <si>
    <t xml:space="preserve">  Office supplies and expense</t>
  </si>
  <si>
    <t xml:space="preserve">  Insurance</t>
  </si>
  <si>
    <t xml:space="preserve">  Professional fees</t>
  </si>
  <si>
    <t xml:space="preserve">  Depreciation</t>
  </si>
  <si>
    <t xml:space="preserve">    Total operating expenses</t>
  </si>
  <si>
    <t xml:space="preserve">    Total nonoperating expenses</t>
  </si>
  <si>
    <t xml:space="preserve">   </t>
  </si>
  <si>
    <t xml:space="preserve">            Gas</t>
  </si>
  <si>
    <t xml:space="preserve">         Water</t>
  </si>
  <si>
    <t xml:space="preserve">           Sewer</t>
  </si>
  <si>
    <t xml:space="preserve">           Total</t>
  </si>
  <si>
    <t xml:space="preserve">  Charges for services -</t>
  </si>
  <si>
    <t xml:space="preserve">    User charges</t>
  </si>
  <si>
    <t xml:space="preserve">    Connection charges</t>
  </si>
  <si>
    <t xml:space="preserve">  Maintenance and supplies</t>
  </si>
  <si>
    <t xml:space="preserve">  Janitorial supplies</t>
  </si>
  <si>
    <t xml:space="preserve">  Engineering</t>
  </si>
  <si>
    <t xml:space="preserve">  Allocation of G&amp;A</t>
  </si>
  <si>
    <t>Income (loss) from operations</t>
  </si>
  <si>
    <t>AMENDED  BUDGET</t>
  </si>
  <si>
    <t>AND THE</t>
  </si>
  <si>
    <t>ORIGINAL  BUDGET</t>
  </si>
  <si>
    <t xml:space="preserve">    Sale of equipment</t>
  </si>
  <si>
    <t xml:space="preserve">  Uniforms</t>
  </si>
  <si>
    <t xml:space="preserve">   Interest income</t>
  </si>
  <si>
    <t xml:space="preserve">  Charges for utility services</t>
  </si>
  <si>
    <t xml:space="preserve">    Estimated increase</t>
  </si>
  <si>
    <t xml:space="preserve">         Percentages Based on</t>
  </si>
  <si>
    <t>Used on Budget</t>
  </si>
  <si>
    <t xml:space="preserve">     TOTAL</t>
  </si>
  <si>
    <t>**</t>
  </si>
  <si>
    <t xml:space="preserve">      Video Poker </t>
  </si>
  <si>
    <t xml:space="preserve">         Year Ended September 30, </t>
  </si>
  <si>
    <t>Transfers in (out):</t>
  </si>
  <si>
    <t xml:space="preserve">  Transfers in</t>
  </si>
  <si>
    <t xml:space="preserve">  Transfers out</t>
  </si>
  <si>
    <t>CONSOLIDATED BUDGET</t>
  </si>
  <si>
    <t>CAPITAL OUTLAY BUDGET REQUEST</t>
  </si>
  <si>
    <t>GENERAL FUND BUDGET</t>
  </si>
  <si>
    <t>REVENUE SUMMARY</t>
  </si>
  <si>
    <t xml:space="preserve">SUMMARY OF EXPENDITURES </t>
  </si>
  <si>
    <t>SUMMARY OF EXPENDITURES (CONTINUED)</t>
  </si>
  <si>
    <t>SPECIAL REVENUE FUNDS</t>
  </si>
  <si>
    <t>CAPITAL PROJECTS FUND BUDGET</t>
  </si>
  <si>
    <t>UTILITY FUND BUDGET</t>
  </si>
  <si>
    <t>CAPITAL PROJECTS FUNDS BUDGET</t>
  </si>
  <si>
    <t>ANALYSIS BY DEPARTMENT</t>
  </si>
  <si>
    <t>UTILITY FUND</t>
  </si>
  <si>
    <t>Page  2</t>
  </si>
  <si>
    <t>Page  3</t>
  </si>
  <si>
    <t>Page  4</t>
  </si>
  <si>
    <t>Page 5</t>
  </si>
  <si>
    <t>Page  6</t>
  </si>
  <si>
    <t>Page  7</t>
  </si>
  <si>
    <t>Page  8</t>
  </si>
  <si>
    <t>Page  9</t>
  </si>
  <si>
    <t>Page  10</t>
  </si>
  <si>
    <t xml:space="preserve">  Casino revenue</t>
  </si>
  <si>
    <t>Maintenance and repairs</t>
  </si>
  <si>
    <t>Debt Service:</t>
  </si>
  <si>
    <t>Principal retirement</t>
  </si>
  <si>
    <t>Interest and fiscal charges</t>
  </si>
  <si>
    <t>Total debt service</t>
  </si>
  <si>
    <t xml:space="preserve">    Interest and penalties on taxes</t>
  </si>
  <si>
    <t>Community Center repairs and maintenance</t>
  </si>
  <si>
    <t>Police accessories</t>
  </si>
  <si>
    <t>Office supplies</t>
  </si>
  <si>
    <t>Feeding prisoners</t>
  </si>
  <si>
    <t>Salaries--Chief</t>
  </si>
  <si>
    <t>Salaries</t>
  </si>
  <si>
    <t>Payroll taxes</t>
  </si>
  <si>
    <t>Group insurance</t>
  </si>
  <si>
    <t>Police car expense--fuel and oil</t>
  </si>
  <si>
    <t>Police car accessories</t>
  </si>
  <si>
    <t xml:space="preserve">Police car repairs/maintenance </t>
  </si>
  <si>
    <t>Medical and drug testing</t>
  </si>
  <si>
    <t>Uniforms</t>
  </si>
  <si>
    <t>Telephone</t>
  </si>
  <si>
    <t>Insurance</t>
  </si>
  <si>
    <t>Electricity</t>
  </si>
  <si>
    <t>Miscellaneous</t>
  </si>
  <si>
    <t>Training</t>
  </si>
  <si>
    <t>Total public safety - police</t>
  </si>
  <si>
    <t>Total general government</t>
  </si>
  <si>
    <t>Total culture and recreation</t>
  </si>
  <si>
    <t>Total capital outlay</t>
  </si>
  <si>
    <t>Total expenditures</t>
  </si>
  <si>
    <t xml:space="preserve">              1966 Sales Tax Fund - 1%</t>
  </si>
  <si>
    <t xml:space="preserve">              1996 Sales Tax Fund - 1.2%</t>
  </si>
  <si>
    <t>Fund equity, beginning</t>
  </si>
  <si>
    <t>Fund equity, ending</t>
  </si>
  <si>
    <t xml:space="preserve">        other sources over </t>
  </si>
  <si>
    <t>FYE</t>
  </si>
  <si>
    <t xml:space="preserve">              Total revenues</t>
  </si>
  <si>
    <t xml:space="preserve">      Excess (deficiency) of revenues</t>
  </si>
  <si>
    <t xml:space="preserve">         over expenditures</t>
  </si>
  <si>
    <t>Fund equity, beginning of year</t>
  </si>
  <si>
    <t>Fund equity, end of year</t>
  </si>
  <si>
    <t xml:space="preserve">  Bad debt expense</t>
  </si>
  <si>
    <t>Equipment repairs and maintenance</t>
  </si>
  <si>
    <t>Janitorial</t>
  </si>
  <si>
    <t xml:space="preserve">  Interest</t>
  </si>
  <si>
    <t>ALL FUNDS:</t>
  </si>
  <si>
    <r>
      <t xml:space="preserve">                                  </t>
    </r>
    <r>
      <rPr>
        <u/>
        <sz val="12"/>
        <rFont val="Times New Roman"/>
        <family val="1"/>
      </rPr>
      <t xml:space="preserve">          WATER            </t>
    </r>
    <r>
      <rPr>
        <sz val="12"/>
        <rFont val="Times New Roman"/>
        <family val="1"/>
      </rPr>
      <t xml:space="preserve">                     </t>
    </r>
    <r>
      <rPr>
        <u/>
        <sz val="12"/>
        <rFont val="Times New Roman"/>
        <family val="1"/>
      </rPr>
      <t xml:space="preserve">          SEWER         </t>
    </r>
  </si>
  <si>
    <r>
      <t xml:space="preserve">                                     </t>
    </r>
    <r>
      <rPr>
        <u/>
        <sz val="12"/>
        <rFont val="Times New Roman"/>
        <family val="1"/>
      </rPr>
      <t>From</t>
    </r>
    <r>
      <rPr>
        <sz val="12"/>
        <rFont val="Times New Roman"/>
        <family val="1"/>
      </rPr>
      <t xml:space="preserve">            </t>
    </r>
    <r>
      <rPr>
        <u/>
        <sz val="12"/>
        <rFont val="Times New Roman"/>
        <family val="1"/>
      </rPr>
      <t>To</t>
    </r>
    <r>
      <rPr>
        <sz val="12"/>
        <rFont val="Times New Roman"/>
        <family val="1"/>
      </rPr>
      <t xml:space="preserve">                                </t>
    </r>
    <r>
      <rPr>
        <u/>
        <sz val="12"/>
        <rFont val="Times New Roman"/>
        <family val="1"/>
      </rPr>
      <t>From</t>
    </r>
    <r>
      <rPr>
        <sz val="12"/>
        <rFont val="Times New Roman"/>
        <family val="1"/>
      </rPr>
      <t xml:space="preserve">            </t>
    </r>
    <r>
      <rPr>
        <u/>
        <sz val="12"/>
        <rFont val="Times New Roman"/>
        <family val="1"/>
      </rPr>
      <t>To</t>
    </r>
  </si>
  <si>
    <t xml:space="preserve">                                                               Sincerely,</t>
  </si>
  <si>
    <t xml:space="preserve">     Gas rates are not expected to change.  Water and sewer base rates will</t>
  </si>
  <si>
    <t xml:space="preserve"> -</t>
  </si>
  <si>
    <t xml:space="preserve">     Revenues and expenditures have been budgeted by examining each</t>
  </si>
  <si>
    <t xml:space="preserve">two (2) prior years, taking into consideration economic factors and known  </t>
  </si>
  <si>
    <t xml:space="preserve">uses the uniform revenue and expenditure classifications and includes </t>
  </si>
  <si>
    <t>information similar to the information required by the form Annual Report</t>
  </si>
  <si>
    <t>on the Budget.  This budget represents a continuation of present service</t>
  </si>
  <si>
    <t>levels.  The budget documents attached include anticipated revenues and</t>
  </si>
  <si>
    <t>expenditures for the General Fund, the Special Revenue Funds, the Debt</t>
  </si>
  <si>
    <t>detailed below:</t>
  </si>
  <si>
    <t xml:space="preserve">      I have attempted to present a budget to you in a fashion and to a detail</t>
  </si>
  <si>
    <t>that will be helpful in your formulating a financial plan for the ensuing budget</t>
  </si>
  <si>
    <t xml:space="preserve">year.  I will be available for any information or help that you may need in  </t>
  </si>
  <si>
    <t>interpreting specific items of the budget.  Additionally, should your consideration</t>
  </si>
  <si>
    <t xml:space="preserve">and the public hearing result in adjustments to this document, I am prepared to </t>
  </si>
  <si>
    <t>incorporate those into this document.</t>
  </si>
  <si>
    <t>BUDGET MESSAGE</t>
  </si>
  <si>
    <t>Law enforcement fees and charges</t>
  </si>
  <si>
    <t xml:space="preserve">      Video poker </t>
  </si>
  <si>
    <t xml:space="preserve">      Grass cutting</t>
  </si>
  <si>
    <t>Page  12</t>
  </si>
  <si>
    <t>ESTIMATING SCHEDULE FOR AMENDED BUDGET</t>
  </si>
  <si>
    <t>Page 8</t>
  </si>
  <si>
    <t>Page  15</t>
  </si>
  <si>
    <t>Page  18</t>
  </si>
  <si>
    <t>Page  19</t>
  </si>
  <si>
    <t xml:space="preserve">Estimating Schedules - </t>
  </si>
  <si>
    <t xml:space="preserve">    General Fund</t>
  </si>
  <si>
    <t xml:space="preserve">    Utility Fund</t>
  </si>
  <si>
    <t>16</t>
  </si>
  <si>
    <t>17</t>
  </si>
  <si>
    <t>TABLE OF CONTENTS</t>
  </si>
  <si>
    <t>DEBT SERVICE FUNDS BUDGET</t>
  </si>
  <si>
    <t>ESTIMATING SCHEDULES FOR AMENDED BUDGET</t>
  </si>
  <si>
    <t>Page  13</t>
  </si>
  <si>
    <t>Page 14</t>
  </si>
  <si>
    <t>Page  16</t>
  </si>
  <si>
    <t>Page 17</t>
  </si>
  <si>
    <t>12 - 15</t>
  </si>
  <si>
    <t>18</t>
  </si>
  <si>
    <t xml:space="preserve">  Transfer from 1966 Sales Tax Fund</t>
  </si>
  <si>
    <t xml:space="preserve">  Transfer to General Fund</t>
  </si>
  <si>
    <t xml:space="preserve">2 Months </t>
  </si>
  <si>
    <t xml:space="preserve">      St. Landry Parish Housing Authority</t>
  </si>
  <si>
    <t xml:space="preserve">    Travel, meetings and conventions</t>
  </si>
  <si>
    <t xml:space="preserve">      Excess (deficiency) of revenues and other</t>
  </si>
  <si>
    <t xml:space="preserve">10 Months </t>
  </si>
  <si>
    <t>Allocable expenses apportioned</t>
  </si>
  <si>
    <t xml:space="preserve"> as follows--</t>
  </si>
  <si>
    <t xml:space="preserve">   Gas</t>
  </si>
  <si>
    <t xml:space="preserve">   Water </t>
  </si>
  <si>
    <t xml:space="preserve">   Sewer</t>
  </si>
  <si>
    <t xml:space="preserve">        and other sources over </t>
  </si>
  <si>
    <t xml:space="preserve">Allocable expenses apportioned </t>
  </si>
  <si>
    <t xml:space="preserve">   as follows--</t>
  </si>
  <si>
    <t xml:space="preserve">    Gas</t>
  </si>
  <si>
    <t xml:space="preserve">    Water </t>
  </si>
  <si>
    <t xml:space="preserve">    Sewer</t>
  </si>
  <si>
    <t xml:space="preserve">       TOTAL</t>
  </si>
  <si>
    <t>Page  11</t>
  </si>
  <si>
    <t xml:space="preserve">                          TOWN OF PORT BARRE, LOUISIANA</t>
  </si>
  <si>
    <t>Building repairs and maintenance</t>
  </si>
  <si>
    <t>Drug enforcement</t>
  </si>
  <si>
    <t>Parks and recreation director salary</t>
  </si>
  <si>
    <t>Culture and recreation -</t>
  </si>
  <si>
    <t>Park director payroll taxes</t>
  </si>
  <si>
    <t>Salaries-council on aging program</t>
  </si>
  <si>
    <t>Payroll taxes-council on aging program</t>
  </si>
  <si>
    <t>Community Center electricity</t>
  </si>
  <si>
    <t xml:space="preserve"> Parks and ball fields:</t>
  </si>
  <si>
    <t>Repairs and maintenance</t>
  </si>
  <si>
    <t>Youth league:</t>
  </si>
  <si>
    <t>Contract labor</t>
  </si>
  <si>
    <t>Petty cash</t>
  </si>
  <si>
    <t xml:space="preserve"> Culture and recreation -</t>
  </si>
  <si>
    <t xml:space="preserve">  Capital outlay - governmental funds </t>
  </si>
  <si>
    <t xml:space="preserve">  Taxes:</t>
  </si>
  <si>
    <t>Revenues</t>
  </si>
  <si>
    <t xml:space="preserve">Police car expense--fuel </t>
  </si>
  <si>
    <t>%</t>
  </si>
  <si>
    <t>Change</t>
  </si>
  <si>
    <t>Original</t>
  </si>
  <si>
    <t>`</t>
  </si>
  <si>
    <t>Water</t>
  </si>
  <si>
    <t>Sewer</t>
  </si>
  <si>
    <t>G &amp; A</t>
  </si>
  <si>
    <t>Gas</t>
  </si>
  <si>
    <t>Salaries - Police Chief</t>
  </si>
  <si>
    <t>Library:</t>
  </si>
  <si>
    <t xml:space="preserve">    Salaries-Mayor and council </t>
  </si>
  <si>
    <t>Librarian salary</t>
  </si>
  <si>
    <t xml:space="preserve">   Interest expense</t>
  </si>
  <si>
    <t>Item</t>
  </si>
  <si>
    <t>Interest and penalties on taxes</t>
  </si>
  <si>
    <t>Payroll taxes - librarian</t>
  </si>
  <si>
    <t>Travel and meetings</t>
  </si>
  <si>
    <t>Insurance deductible</t>
  </si>
  <si>
    <t>Youth league donations</t>
  </si>
  <si>
    <t xml:space="preserve">    Other miscellaneous revenue</t>
  </si>
  <si>
    <t>Youth League donations</t>
  </si>
  <si>
    <t xml:space="preserve">    Library - other income</t>
  </si>
  <si>
    <t>Payroll taxes - elderly assistance program</t>
  </si>
  <si>
    <t>Salaries - elderly assistance program</t>
  </si>
  <si>
    <t>Payroll taxes-elderly assistance program</t>
  </si>
  <si>
    <t>Miscellaneous and other Youth League exp.</t>
  </si>
  <si>
    <t>Town of Port Barre, Louisiana</t>
  </si>
  <si>
    <t>ORDINANCE NO. __________________</t>
  </si>
  <si>
    <t xml:space="preserve">    The following ordinance was offered by ________________________    and seconded by</t>
  </si>
  <si>
    <t>___________________________.</t>
  </si>
  <si>
    <t xml:space="preserve">    An  Ordinance adopting an Operating Budget of Revenues and Expenditures for the fiscal year</t>
  </si>
  <si>
    <t xml:space="preserve">    BE IT ORDAINED BY THE BOARD OF ALDERMEN OF Town of Port Barre, LOUISIANA,</t>
  </si>
  <si>
    <t>in general session convened that:</t>
  </si>
  <si>
    <t xml:space="preserve">    SECTION 1:  The attached detailed estimate of Revenues for the fiscal year beginning October 1,</t>
  </si>
  <si>
    <t>Budget of Revenues for the Town  of Port Barre, during the same period.</t>
  </si>
  <si>
    <t xml:space="preserve">    SECTION 2:  The attached estimates of Expenditures by departments for the fiscal year beginning</t>
  </si>
  <si>
    <t>of Expenditures for the Town of Port Barre during the same period.</t>
  </si>
  <si>
    <t xml:space="preserve">    SECTION 3:  The adoption of this Operating Budget of Expenditures be and the same is hereby</t>
  </si>
  <si>
    <t>declared to operate as an appropriation of the amount therein set forth within the terms of the</t>
  </si>
  <si>
    <t>budget classification.</t>
  </si>
  <si>
    <t>budget.</t>
  </si>
  <si>
    <t>The above ordinance was adopted on a vote taken by yeas and nays entered on the minutes of the clerk as follows:</t>
  </si>
  <si>
    <t>YEAS:</t>
  </si>
  <si>
    <t>NAYS:</t>
  </si>
  <si>
    <t>The  ordinance is declared PASSED AND ADOPTED AT Port Barre, Louisiana, on this</t>
  </si>
  <si>
    <t>ATTEST:</t>
  </si>
  <si>
    <t>Toria Comeaux, Town Clerk</t>
  </si>
  <si>
    <t xml:space="preserve">    An  Ordinance adopting an Amended Operating Budget of Revenues and Expenditures for the fiscal year</t>
  </si>
  <si>
    <t>Budget of Revenues for the Town of Port Barre, during the same period.</t>
  </si>
  <si>
    <t>budget document, presented as Estimated amounts.</t>
  </si>
  <si>
    <t xml:space="preserve">    SECTION 6:   The Ordinance also includes the approval of annual salaries for the elected and certain </t>
  </si>
  <si>
    <t xml:space="preserve">    SECTION 5:  The Mayor of the Town of Port Barre shall have the authority to make changes within each department's operating budget to the extent that the department's total budget allocation is not modified without approval by the governing authority (Board of Aldermen).  Modifications which change a department's total budget allocation must be approved by the Board of Aldermen.  Additionally, all modifications to budgeted capital outlay must be approved by the Board of Aldermen.</t>
  </si>
  <si>
    <t xml:space="preserve">    SECTION 5:  The Mayor of the Port Barre shall have the authority to make changes within each department's operating budget to the extent that the department's total budget allocation is not modified without approval by the governing authority (Board of Aldermen).  Modifications which change a department's total budget allocation must be approved by the Board of Aldermen.  Additionally, all modifications to budgeted capital outlay must be approved by the Board of Aldermen.</t>
  </si>
  <si>
    <t xml:space="preserve">    Legal fees/lawsuit claim</t>
  </si>
  <si>
    <t>set forth under R.S.  39:1316 since the consolidated budget statement</t>
  </si>
  <si>
    <t xml:space="preserve">    Truck and equipment fuel</t>
  </si>
  <si>
    <t xml:space="preserve">    Truck and equip. repairs and maint.</t>
  </si>
  <si>
    <t xml:space="preserve">    Street materials, maint. and supplies</t>
  </si>
  <si>
    <t xml:space="preserve">  Transfer in - 1966 Sales Tax Fund</t>
  </si>
  <si>
    <t xml:space="preserve">      On-behalf payments</t>
  </si>
  <si>
    <t>Transfers from Utility Fund</t>
  </si>
  <si>
    <t xml:space="preserve">changes of facts.  </t>
  </si>
  <si>
    <t xml:space="preserve">     Net transfers in (out)</t>
  </si>
  <si>
    <t xml:space="preserve">     Deficiency of revenues over expenditures</t>
  </si>
  <si>
    <t xml:space="preserve">      Deficiency of revenues and </t>
  </si>
  <si>
    <t xml:space="preserve">      Deficiency of revenues</t>
  </si>
  <si>
    <t xml:space="preserve">      Excess of revenues over expenditures</t>
  </si>
  <si>
    <t xml:space="preserve">Street improvement projects </t>
  </si>
  <si>
    <t>Street improvements  project</t>
  </si>
  <si>
    <t>*</t>
  </si>
  <si>
    <t xml:space="preserve">  Transfer in - 1996 Sales Tax Fund</t>
  </si>
  <si>
    <t xml:space="preserve">    Bond processing fees/other PD income </t>
  </si>
  <si>
    <t xml:space="preserve">    Bond processing fees/other PD income</t>
  </si>
  <si>
    <t xml:space="preserve">    Computer  consulting/tech support</t>
  </si>
  <si>
    <t>Youth League, including fundraisers and sponsors</t>
  </si>
  <si>
    <t>Youth league profit</t>
  </si>
  <si>
    <t>Other Financing Sources:</t>
  </si>
  <si>
    <t xml:space="preserve">  Contract services-maint. manager</t>
  </si>
  <si>
    <t>Feeding prisoners &amp; prisoner expenses</t>
  </si>
  <si>
    <t xml:space="preserve">remain the same, and the consumption rates over the 2,500 gallon </t>
  </si>
  <si>
    <t xml:space="preserve">    Insurance reimbursement</t>
  </si>
  <si>
    <t xml:space="preserve">    Insurance reimbursement - police</t>
  </si>
  <si>
    <t xml:space="preserve">      Operating income (loss)</t>
  </si>
  <si>
    <t xml:space="preserve">  Transfer out - Utility Fund</t>
  </si>
  <si>
    <t xml:space="preserve">  Transfer out - 1996 Sales Tax Fund</t>
  </si>
  <si>
    <t xml:space="preserve">         other sources over expenditures</t>
  </si>
  <si>
    <t xml:space="preserve">         and other uses</t>
  </si>
  <si>
    <t xml:space="preserve">      Total other financing</t>
  </si>
  <si>
    <t xml:space="preserve">         sources (uses)</t>
  </si>
  <si>
    <t xml:space="preserve">  Transfers from Utility Fund</t>
  </si>
  <si>
    <t xml:space="preserve">  Transfer out - 1966 Sales Tax Fund</t>
  </si>
  <si>
    <t xml:space="preserve">  Culture and recreation -</t>
  </si>
  <si>
    <t>Automobiles</t>
  </si>
  <si>
    <t xml:space="preserve">1996 Sales Tax Bonds </t>
  </si>
  <si>
    <t>G  &amp; A</t>
  </si>
  <si>
    <t xml:space="preserve">Elderly assistance program </t>
  </si>
  <si>
    <t>Salary increase</t>
  </si>
  <si>
    <t>Salaries-Mayor and council</t>
  </si>
  <si>
    <t>Salaries - admin</t>
  </si>
  <si>
    <t>Mayor's expense allowance</t>
  </si>
  <si>
    <t>Travel, meetings and conventions</t>
  </si>
  <si>
    <t>Legal fees/lawsuit claim</t>
  </si>
  <si>
    <t>Professional fees</t>
  </si>
  <si>
    <t>Dues and subscriptions</t>
  </si>
  <si>
    <t>Advertising</t>
  </si>
  <si>
    <t>Coroner's fees</t>
  </si>
  <si>
    <t>Preparation of tax roll</t>
  </si>
  <si>
    <t>Salary increase - council on aging</t>
  </si>
  <si>
    <t>Salary increase - elderly assistance program</t>
  </si>
  <si>
    <t>Highways and streets -</t>
  </si>
  <si>
    <t>Truck and equipment fuel</t>
  </si>
  <si>
    <t>Truck and equip. repairs and maint.</t>
  </si>
  <si>
    <t>Street materials, maint. and supplies</t>
  </si>
  <si>
    <t>Utilities for street lights</t>
  </si>
  <si>
    <t>Total highways and streets</t>
  </si>
  <si>
    <t>Gas purchased</t>
  </si>
  <si>
    <t>Maintenance and supplies</t>
  </si>
  <si>
    <t>Water and sewer chemicals</t>
  </si>
  <si>
    <t>Contract services-Maint. manager</t>
  </si>
  <si>
    <t>Janitorial supplies</t>
  </si>
  <si>
    <t>Drug testing</t>
  </si>
  <si>
    <t>Truck expense</t>
  </si>
  <si>
    <t>Office supplies and expense</t>
  </si>
  <si>
    <t>Engineering</t>
  </si>
  <si>
    <t>Bad debt expense</t>
  </si>
  <si>
    <t>Depreciation</t>
  </si>
  <si>
    <t>Allocation of G&amp;A</t>
  </si>
  <si>
    <t>Contract services - maintenance mgr</t>
  </si>
  <si>
    <t>Engineering fees</t>
  </si>
  <si>
    <t xml:space="preserve">Allocation of G&amp;A </t>
  </si>
  <si>
    <t>Total operating expenses</t>
  </si>
  <si>
    <t>Equipment</t>
  </si>
  <si>
    <t xml:space="preserve">    Salaries - admin</t>
  </si>
  <si>
    <t xml:space="preserve">  Salary increase</t>
  </si>
  <si>
    <t>Interest expense</t>
  </si>
  <si>
    <t>Debt issuance costs</t>
  </si>
  <si>
    <t>Interest income</t>
  </si>
  <si>
    <t>Library building</t>
  </si>
  <si>
    <t>Ballpark improvements</t>
  </si>
  <si>
    <t>Proceeds from issuance of debt</t>
  </si>
  <si>
    <t>Total other financing sources</t>
  </si>
  <si>
    <t xml:space="preserve">    Total capital outlay</t>
  </si>
  <si>
    <t>Year Ending September 30, 2020</t>
  </si>
  <si>
    <t xml:space="preserve"> Building permit</t>
  </si>
  <si>
    <t xml:space="preserve"> Loss on disposal</t>
  </si>
  <si>
    <t>Loss on disposal</t>
  </si>
  <si>
    <t>2019 and ending September 30, 2020, be and the same is hereby adopted to serve as an Operation</t>
  </si>
  <si>
    <t>October 1, 2019, and ending September 30, 2020, be and the same is hereby adopted to serve as a budget</t>
  </si>
  <si>
    <t xml:space="preserve">    SECTION 4:  Amounts are available for expenditures only to the extent included with the 2019-20</t>
  </si>
  <si>
    <t>19</t>
  </si>
  <si>
    <t>Paying agent fees</t>
  </si>
  <si>
    <t>YEAR ENDING SEPTEMBER 30, 2020</t>
  </si>
  <si>
    <t xml:space="preserve">                                                               Toria V.  Comeaux</t>
  </si>
  <si>
    <t>Special Revenue Funds -</t>
  </si>
  <si>
    <t>Debt Service Fund -</t>
  </si>
  <si>
    <t>Capital Projects Fund</t>
  </si>
  <si>
    <t xml:space="preserve">    Special Revenue Funds</t>
  </si>
  <si>
    <t xml:space="preserve">    Debt Service Fund</t>
  </si>
  <si>
    <t xml:space="preserve"> Capital Projects Fund</t>
  </si>
  <si>
    <t xml:space="preserve"> Election fees</t>
  </si>
  <si>
    <t>Miscellaneous and other youth league exp.</t>
  </si>
  <si>
    <t xml:space="preserve">  Proceeds from issuance of debt</t>
  </si>
  <si>
    <t>Telephone system</t>
  </si>
  <si>
    <t>Computers (3)</t>
  </si>
  <si>
    <t>Copier/scanner/printer</t>
  </si>
  <si>
    <t xml:space="preserve">   Proceeds from issuance of debt</t>
  </si>
  <si>
    <t xml:space="preserve"> BUDGET ORDINANCE---YE 09/30/21</t>
  </si>
  <si>
    <t>beginning October 1, 2020 and ending September 30, 2021--See attached Budget FYE 09/30/2021.</t>
  </si>
  <si>
    <t>2020 and ending September 30, 2021, be and the same is hereby adopted to serve as an Operation</t>
  </si>
  <si>
    <t>October 1, 2020, and ending September 30, 2021, be and the same is hereby adopted to serve as a budget</t>
  </si>
  <si>
    <t xml:space="preserve">    SECTION 4:  Amounts are available for expenditures only to the extent included with the 2020-21</t>
  </si>
  <si>
    <t>John P. Ardoin, Mayor</t>
  </si>
  <si>
    <t>the ______ day of September, 2020.</t>
  </si>
  <si>
    <t>appointed city officials and are included in the attached 2021 Budget as budget appropriations.</t>
  </si>
  <si>
    <t>AMENDED  BUDGET ORDINANCE---YE 09/30/20</t>
  </si>
  <si>
    <t>beginning October 1, 2019 and ending September 30, 2020-See attached Budget FYE 09/30/2020 - Estimated Amounts.</t>
  </si>
  <si>
    <t>YEAR ENDING SEPTEMBER 30, 2021</t>
  </si>
  <si>
    <t>Year Ending September 30, 2021</t>
  </si>
  <si>
    <t xml:space="preserve">     I submit to you the budget for the fiscal year 2021, beginning</t>
  </si>
  <si>
    <t>October 1, 2020.  This budget satisfies the legal requirement of filing as</t>
  </si>
  <si>
    <t>line item and basing the 2021 budget on the approximate amounts for the</t>
  </si>
  <si>
    <t>State grant revenue</t>
  </si>
  <si>
    <t>Insurance proceeds</t>
  </si>
  <si>
    <t>Capital contributions</t>
  </si>
  <si>
    <t xml:space="preserve"> Year Ended September 30, 2021</t>
  </si>
  <si>
    <t xml:space="preserve">      Total nonoperating revenues (expenses)</t>
  </si>
  <si>
    <t>Income before capital contributions and transfers</t>
  </si>
  <si>
    <t>the _____ day of September, 2020.</t>
  </si>
  <si>
    <t xml:space="preserve">  Drug testing/Medical Exp.</t>
  </si>
  <si>
    <t>minimum are expected to change effective 10/1/20 based on the following:</t>
  </si>
  <si>
    <t xml:space="preserve">    In Town                     4.70            4.85                               4.80             4.95</t>
  </si>
  <si>
    <t xml:space="preserve">    Out of Town              5.00            5.15                                n/a              n/a</t>
  </si>
  <si>
    <t>Computer consulting/tech support</t>
  </si>
  <si>
    <t>Utility Fund</t>
  </si>
  <si>
    <t>Governmental Funds</t>
  </si>
  <si>
    <t xml:space="preserve">Service Funds, and the Utility Fund.  There are no budgeted capital outlay </t>
  </si>
  <si>
    <t>expenditures for FYE 2021.  There are certain aspects of the budget which are</t>
  </si>
  <si>
    <t xml:space="preserve"> Excess (deficiency) of revenues </t>
  </si>
  <si>
    <t>over expenditures</t>
  </si>
  <si>
    <t xml:space="preserve">    Buildings permits</t>
  </si>
  <si>
    <t xml:space="preserve"> Maintenance and repairs</t>
  </si>
  <si>
    <t>Demolition of property</t>
  </si>
  <si>
    <t xml:space="preserve"> Salary increase - admin</t>
  </si>
  <si>
    <t xml:space="preserve">    Income (loss) before transfers</t>
  </si>
  <si>
    <t xml:space="preserve">    Operating income (loss)</t>
  </si>
  <si>
    <t xml:space="preserve">    Net income (loss) after transfers</t>
  </si>
  <si>
    <t>Net income after capital contributions</t>
  </si>
  <si>
    <t xml:space="preserve">  Intergovernmental revenue--LCDBG grant</t>
  </si>
  <si>
    <t>Building permits</t>
  </si>
  <si>
    <t xml:space="preserve"> Demolition of property</t>
  </si>
  <si>
    <t xml:space="preserve">Insurance deductible </t>
  </si>
  <si>
    <t xml:space="preserve">  Capital outlay - Utility Fund</t>
  </si>
  <si>
    <t xml:space="preserve"> Capital outlay - Sewer improvements</t>
  </si>
  <si>
    <t xml:space="preserve">  Capital outlay - Sewer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</si>
</sst>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_)"/>
    <numFmt numFmtId="165" formatCode="mmmm\ d\,\ yyyy"/>
    <numFmt numFmtId="166" formatCode="_(&quot;$&quot;* #,##0.000_);_(&quot;$&quot;* \(#,##0.000\);_(&quot;$&quot;* &quot;-&quot;???_);_(@_)"/>
    <numFmt numFmtId="167" formatCode="_(* #,##0.000_);_(* \(#,##0.000\);_(* &quot;-&quot;???_);_(@_)"/>
    <numFmt numFmtId="168" formatCode="_(* #,##0_);_(* \(#,##0\);_(* &quot;-&quot;???_);_(@_)"/>
    <numFmt numFmtId="169" formatCode="0.000000"/>
    <numFmt numFmtId="170" formatCode="#,##0.0000_);\(#,##0.0000\)"/>
    <numFmt numFmtId="171" formatCode="_(* #,##0_);_(* \(#,##0\);_(* &quot;-&quot;?_);_(@_)"/>
    <numFmt numFmtId="172" formatCode="0.0000%"/>
    <numFmt numFmtId="173" formatCode="_(&quot;$&quot;* #,##0_);_(&quot;$&quot;* \(#,##0\);_(&quot;$&quot;* &quot;-&quot;???_);_(@_)"/>
    <numFmt numFmtId="174" formatCode="_(* #,##0_);_(* \(#,##0\);_(* &quot;-&quot;??_);_(@_)"/>
    <numFmt numFmtId="175" formatCode="_(&quot;$&quot;* #,##0_);_(&quot;$&quot;* \(#,##0\);_(&quot;$&quot;* &quot;-&quot;??_);_(@_)"/>
  </numFmts>
  <fonts count="47" x14ac:knownFonts="1">
    <font>
      <sz val="12"/>
      <name val="Helv"/>
    </font>
    <font>
      <sz val="10"/>
      <name val="Arial"/>
      <family val="2"/>
    </font>
    <font>
      <sz val="8"/>
      <color indexed="81"/>
      <name val="Tahoma"/>
      <family val="2"/>
    </font>
    <font>
      <sz val="12"/>
      <name val="Times New Roman"/>
      <family val="1"/>
    </font>
    <font>
      <b/>
      <sz val="12"/>
      <name val="Times New Roman"/>
      <family val="1"/>
    </font>
    <font>
      <u/>
      <sz val="12"/>
      <name val="Times New Roman"/>
      <family val="1"/>
    </font>
    <font>
      <b/>
      <sz val="18"/>
      <name val="Times New Roman"/>
      <family val="1"/>
    </font>
    <font>
      <b/>
      <sz val="16"/>
      <name val="Times New Roman"/>
      <family val="1"/>
    </font>
    <font>
      <u val="double"/>
      <sz val="12"/>
      <name val="Times New Roman"/>
      <family val="1"/>
    </font>
    <font>
      <u val="singleAccounting"/>
      <sz val="12"/>
      <name val="Times New Roman"/>
      <family val="1"/>
    </font>
    <font>
      <sz val="12"/>
      <color indexed="48"/>
      <name val="Times New Roman"/>
      <family val="1"/>
    </font>
    <font>
      <u val="singleAccounting"/>
      <sz val="12"/>
      <color indexed="48"/>
      <name val="Times New Roman"/>
      <family val="1"/>
    </font>
    <font>
      <b/>
      <sz val="12"/>
      <color indexed="48"/>
      <name val="Times New Roman"/>
      <family val="1"/>
    </font>
    <font>
      <u/>
      <sz val="12"/>
      <color indexed="48"/>
      <name val="Times New Roman"/>
      <family val="1"/>
    </font>
    <font>
      <u val="doubleAccounting"/>
      <sz val="12"/>
      <color indexed="48"/>
      <name val="Times New Roman"/>
      <family val="1"/>
    </font>
    <font>
      <b/>
      <sz val="14"/>
      <name val="Times New Roman"/>
      <family val="1"/>
    </font>
    <font>
      <u/>
      <sz val="10"/>
      <name val="Times New Roman"/>
      <family val="1"/>
    </font>
    <font>
      <u val="singleAccounting"/>
      <sz val="10"/>
      <name val="Times New Roman"/>
      <family val="1"/>
    </font>
    <font>
      <u val="doubleAccounting"/>
      <sz val="12"/>
      <name val="Times New Roman"/>
      <family val="1"/>
    </font>
    <font>
      <sz val="12"/>
      <name val="Helv"/>
    </font>
    <font>
      <sz val="11"/>
      <name val="Times New Roman"/>
      <family val="1"/>
    </font>
    <font>
      <b/>
      <u val="singleAccounting"/>
      <sz val="12"/>
      <name val="Times New Roman"/>
      <family val="1"/>
    </font>
    <font>
      <b/>
      <sz val="11"/>
      <name val="Times New Roman"/>
      <family val="1"/>
    </font>
    <font>
      <u val="singleAccounting"/>
      <sz val="11"/>
      <name val="Times New Roman"/>
      <family val="1"/>
    </font>
    <font>
      <u/>
      <sz val="11"/>
      <name val="Times New Roman"/>
      <family val="1"/>
    </font>
    <font>
      <u val="doubleAccounting"/>
      <sz val="11"/>
      <name val="Times New Roman"/>
      <family val="1"/>
    </font>
    <font>
      <sz val="14"/>
      <name val="Times New Roman"/>
      <family val="1"/>
    </font>
    <font>
      <sz val="12"/>
      <color indexed="12"/>
      <name val="Times New Roman"/>
      <family val="1"/>
    </font>
    <font>
      <sz val="11"/>
      <color rgb="FF0000FF"/>
      <name val="Times New Roman"/>
      <family val="1"/>
    </font>
    <font>
      <u val="singleAccounting"/>
      <sz val="11"/>
      <color rgb="FF0000FF"/>
      <name val="Times New Roman"/>
      <family val="1"/>
    </font>
    <font>
      <b/>
      <sz val="12"/>
      <color rgb="FF0000FF"/>
      <name val="Times New Roman"/>
      <family val="1"/>
    </font>
    <font>
      <b/>
      <u val="singleAccounting"/>
      <sz val="11"/>
      <color rgb="FF0000FF"/>
      <name val="Times New Roman"/>
      <family val="1"/>
    </font>
    <font>
      <b/>
      <sz val="11"/>
      <color rgb="FF0000FF"/>
      <name val="Times New Roman"/>
      <family val="1"/>
    </font>
    <font>
      <u val="singleAccounting"/>
      <sz val="12"/>
      <color rgb="FF0000FF"/>
      <name val="Times New Roman"/>
      <family val="1"/>
    </font>
    <font>
      <u val="doubleAccounting"/>
      <sz val="11"/>
      <color rgb="FF0000FF"/>
      <name val="Times New Roman"/>
      <family val="1"/>
    </font>
    <font>
      <sz val="12"/>
      <color rgb="FF0000FF"/>
      <name val="Times New Roman"/>
      <family val="1"/>
    </font>
    <font>
      <u val="doubleAccounting"/>
      <sz val="12"/>
      <color rgb="FF0000FF"/>
      <name val="Times New Roman"/>
      <family val="1"/>
    </font>
    <font>
      <sz val="12"/>
      <color theme="1"/>
      <name val="Times New Roman"/>
      <family val="1"/>
    </font>
    <font>
      <u val="singleAccounting"/>
      <sz val="12"/>
      <color theme="1"/>
      <name val="Times New Roman"/>
      <family val="1"/>
    </font>
    <font>
      <u/>
      <sz val="12"/>
      <color rgb="FF0000FF"/>
      <name val="Times New Roman"/>
      <family val="1"/>
    </font>
    <font>
      <u val="double"/>
      <sz val="12"/>
      <color rgb="FF0000FF"/>
      <name val="Times New Roman"/>
      <family val="1"/>
    </font>
    <font>
      <u/>
      <sz val="11"/>
      <color rgb="FF0000FF"/>
      <name val="Times New Roman"/>
      <family val="1"/>
    </font>
    <font>
      <u val="double"/>
      <sz val="11"/>
      <color rgb="FF0000FF"/>
      <name val="Times New Roman"/>
      <family val="1"/>
    </font>
    <font>
      <sz val="9"/>
      <color indexed="81"/>
      <name val="Tahoma"/>
      <family val="2"/>
    </font>
    <font>
      <b/>
      <sz val="9"/>
      <color indexed="81"/>
      <name val="Tahoma"/>
      <family val="2"/>
    </font>
    <font>
      <sz val="9"/>
      <color indexed="81"/>
      <name val="Tahoma"/>
      <charset val="1"/>
    </font>
    <font>
      <b/>
      <sz val="9"/>
      <color indexed="81"/>
      <name val="Tahoma"/>
      <charset val="1"/>
    </font>
  </fonts>
  <fills count="5">
    <fill>
      <patternFill patternType="none"/>
    </fill>
    <fill>
      <patternFill patternType="gray125"/>
    </fill>
    <fill>
      <patternFill patternType="lightGray">
        <fgColor indexed="8"/>
        <bgColor indexed="18"/>
      </patternFill>
    </fill>
    <fill>
      <patternFill patternType="solid">
        <fgColor indexed="22"/>
        <bgColor indexed="64"/>
      </patternFill>
    </fill>
    <fill>
      <patternFill patternType="solid">
        <fgColor rgb="FFFFFF00"/>
        <bgColor indexed="64"/>
      </patternFill>
    </fill>
  </fills>
  <borders count="10">
    <border>
      <left/>
      <right/>
      <top/>
      <bottom/>
      <diagonal/>
    </border>
    <border>
      <left/>
      <right/>
      <top/>
      <bottom style="thin">
        <color indexed="8"/>
      </bottom>
      <diagonal/>
    </border>
    <border>
      <left/>
      <right/>
      <top/>
      <bottom style="thin">
        <color indexed="64"/>
      </bottom>
      <diagonal/>
    </border>
    <border>
      <left style="thin">
        <color indexed="8"/>
      </left>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diagonal/>
    </border>
    <border>
      <left/>
      <right/>
      <top style="thin">
        <color indexed="8"/>
      </top>
      <bottom/>
      <diagonal/>
    </border>
    <border>
      <left/>
      <right style="thin">
        <color indexed="8"/>
      </right>
      <top/>
      <bottom style="thin">
        <color indexed="8"/>
      </bottom>
      <diagonal/>
    </border>
  </borders>
  <cellStyleXfs count="6">
    <xf numFmtId="0" fontId="0" fillId="0" borderId="0"/>
    <xf numFmtId="41" fontId="1" fillId="0" borderId="0" applyFont="0" applyFill="0" applyBorder="0" applyAlignment="0" applyProtection="0"/>
    <xf numFmtId="44" fontId="1" fillId="0" borderId="0" applyFont="0" applyFill="0" applyBorder="0" applyAlignment="0" applyProtection="0"/>
    <xf numFmtId="37" fontId="19" fillId="0" borderId="0"/>
    <xf numFmtId="9" fontId="1" fillId="0" borderId="0" applyFont="0" applyFill="0" applyBorder="0" applyAlignment="0" applyProtection="0"/>
    <xf numFmtId="43" fontId="19" fillId="0" borderId="0" applyFont="0" applyFill="0" applyBorder="0" applyAlignment="0" applyProtection="0"/>
  </cellStyleXfs>
  <cellXfs count="633">
    <xf numFmtId="0" fontId="0" fillId="0" borderId="0" xfId="0"/>
    <xf numFmtId="0" fontId="3" fillId="0" borderId="0" xfId="0" applyFont="1"/>
    <xf numFmtId="0" fontId="4" fillId="0" borderId="0" xfId="0" applyFont="1"/>
    <xf numFmtId="5" fontId="3" fillId="0" borderId="0" xfId="0" applyNumberFormat="1" applyFont="1" applyProtection="1"/>
    <xf numFmtId="37" fontId="3" fillId="0" borderId="0" xfId="0" applyNumberFormat="1" applyFont="1" applyProtection="1"/>
    <xf numFmtId="0" fontId="3" fillId="0" borderId="1" xfId="0" applyFont="1" applyBorder="1"/>
    <xf numFmtId="0" fontId="3" fillId="0" borderId="0" xfId="0" applyFont="1" applyAlignment="1">
      <alignment horizontal="center"/>
    </xf>
    <xf numFmtId="0" fontId="5" fillId="0" borderId="0" xfId="0" applyFont="1" applyBorder="1" applyAlignment="1">
      <alignment horizontal="right"/>
    </xf>
    <xf numFmtId="41" fontId="3" fillId="0" borderId="0" xfId="0" applyNumberFormat="1" applyFont="1" applyBorder="1"/>
    <xf numFmtId="0" fontId="3" fillId="0" borderId="0" xfId="0" applyFont="1" applyAlignment="1">
      <alignment horizontal="fill"/>
    </xf>
    <xf numFmtId="7" fontId="3" fillId="0" borderId="0" xfId="0" applyNumberFormat="1" applyFont="1" applyProtection="1"/>
    <xf numFmtId="39" fontId="3" fillId="0" borderId="0" xfId="0" applyNumberFormat="1" applyFont="1" applyProtection="1"/>
    <xf numFmtId="164" fontId="3" fillId="0" borderId="0" xfId="0" applyNumberFormat="1" applyFont="1" applyProtection="1"/>
    <xf numFmtId="0" fontId="3" fillId="0" borderId="0" xfId="0" applyFont="1" applyAlignment="1">
      <alignment horizontal="right"/>
    </xf>
    <xf numFmtId="39" fontId="3" fillId="0" borderId="0" xfId="0" applyNumberFormat="1" applyFont="1" applyAlignment="1" applyProtection="1">
      <alignment horizontal="right"/>
    </xf>
    <xf numFmtId="39" fontId="3" fillId="0" borderId="0" xfId="0" applyNumberFormat="1" applyFont="1" applyAlignment="1" applyProtection="1">
      <alignment horizontal="fill"/>
    </xf>
    <xf numFmtId="0" fontId="6" fillId="0" borderId="0" xfId="0" applyFont="1" applyAlignment="1">
      <alignment horizontal="centerContinuous"/>
    </xf>
    <xf numFmtId="0" fontId="3" fillId="0" borderId="0" xfId="0" applyFont="1" applyAlignment="1">
      <alignment horizontal="centerContinuous"/>
    </xf>
    <xf numFmtId="0" fontId="4" fillId="0" borderId="0" xfId="0" applyFont="1" applyAlignment="1">
      <alignment horizontal="centerContinuous"/>
    </xf>
    <xf numFmtId="41" fontId="3" fillId="0" borderId="0" xfId="1" applyFont="1" applyAlignment="1">
      <alignment horizontal="centerContinuous"/>
    </xf>
    <xf numFmtId="165" fontId="4" fillId="0" borderId="0" xfId="0" applyNumberFormat="1" applyFont="1" applyAlignment="1">
      <alignment horizontal="centerContinuous"/>
    </xf>
    <xf numFmtId="41" fontId="3" fillId="0" borderId="0" xfId="1" applyFont="1"/>
    <xf numFmtId="0" fontId="3" fillId="2" borderId="0" xfId="0" applyFont="1" applyFill="1"/>
    <xf numFmtId="41" fontId="3" fillId="0" borderId="1" xfId="1" applyFont="1" applyBorder="1"/>
    <xf numFmtId="41" fontId="3" fillId="0" borderId="0" xfId="1" applyFont="1" applyAlignment="1">
      <alignment horizontal="center"/>
    </xf>
    <xf numFmtId="0" fontId="3" fillId="0" borderId="0" xfId="1" quotePrefix="1" applyNumberFormat="1" applyFont="1" applyAlignment="1">
      <alignment horizontal="center"/>
    </xf>
    <xf numFmtId="0" fontId="3" fillId="0" borderId="0" xfId="0" applyNumberFormat="1" applyFont="1" applyAlignment="1">
      <alignment horizontal="center"/>
    </xf>
    <xf numFmtId="41" fontId="3" fillId="0" borderId="1" xfId="1" applyFont="1" applyBorder="1" applyAlignment="1">
      <alignment horizontal="center"/>
    </xf>
    <xf numFmtId="41" fontId="3" fillId="0" borderId="2" xfId="1" applyFont="1" applyBorder="1" applyAlignment="1">
      <alignment horizontal="center"/>
    </xf>
    <xf numFmtId="42" fontId="3" fillId="0" borderId="0" xfId="1" applyNumberFormat="1" applyFont="1" applyProtection="1"/>
    <xf numFmtId="41" fontId="3" fillId="0" borderId="0" xfId="1" applyFont="1" applyProtection="1"/>
    <xf numFmtId="37" fontId="3" fillId="2" borderId="0" xfId="0" applyNumberFormat="1" applyFont="1" applyFill="1" applyProtection="1"/>
    <xf numFmtId="41" fontId="3" fillId="0" borderId="1" xfId="1" applyFont="1" applyBorder="1" applyProtection="1"/>
    <xf numFmtId="37" fontId="4" fillId="0" borderId="0" xfId="0" applyNumberFormat="1" applyFont="1" applyProtection="1"/>
    <xf numFmtId="37" fontId="4" fillId="2" borderId="0" xfId="0" applyNumberFormat="1" applyFont="1" applyFill="1" applyProtection="1"/>
    <xf numFmtId="41" fontId="3" fillId="0" borderId="0" xfId="1" applyFont="1" applyBorder="1" applyProtection="1"/>
    <xf numFmtId="0" fontId="3" fillId="0" borderId="0" xfId="0" applyFont="1" applyBorder="1"/>
    <xf numFmtId="41" fontId="3" fillId="0" borderId="0" xfId="1" applyFont="1" applyBorder="1"/>
    <xf numFmtId="0" fontId="4" fillId="0" borderId="0" xfId="0" applyFont="1" applyBorder="1"/>
    <xf numFmtId="41" fontId="3" fillId="0" borderId="0" xfId="1" applyFont="1" applyBorder="1" applyAlignment="1">
      <alignment horizontal="center"/>
    </xf>
    <xf numFmtId="0" fontId="8" fillId="0" borderId="0" xfId="0" applyFont="1" applyBorder="1"/>
    <xf numFmtId="0" fontId="5" fillId="0" borderId="0" xfId="0" applyFont="1" applyBorder="1"/>
    <xf numFmtId="9" fontId="3" fillId="0" borderId="0" xfId="0" applyNumberFormat="1" applyFont="1" applyBorder="1" applyProtection="1"/>
    <xf numFmtId="0" fontId="3" fillId="0" borderId="0" xfId="0" applyFont="1" applyAlignment="1">
      <alignment horizontal="left" indent="1"/>
    </xf>
    <xf numFmtId="41" fontId="9" fillId="0" borderId="0" xfId="1" applyFont="1" applyBorder="1" applyProtection="1"/>
    <xf numFmtId="0" fontId="12" fillId="0" borderId="0" xfId="0" applyFont="1" applyAlignment="1">
      <alignment horizontal="centerContinuous"/>
    </xf>
    <xf numFmtId="41" fontId="3" fillId="0" borderId="0" xfId="1" applyFont="1" applyAlignment="1" applyProtection="1">
      <alignment horizontal="centerContinuous"/>
    </xf>
    <xf numFmtId="41" fontId="3" fillId="0" borderId="1" xfId="1" applyFont="1" applyBorder="1" applyAlignment="1" applyProtection="1">
      <alignment horizontal="center"/>
    </xf>
    <xf numFmtId="41" fontId="3" fillId="0" borderId="0" xfId="0" applyNumberFormat="1" applyFont="1"/>
    <xf numFmtId="37" fontId="3" fillId="0" borderId="0" xfId="0" applyNumberFormat="1" applyFont="1" applyAlignment="1" applyProtection="1">
      <alignment horizontal="centerContinuous"/>
    </xf>
    <xf numFmtId="37" fontId="3" fillId="0" borderId="1" xfId="0" applyNumberFormat="1" applyFont="1" applyBorder="1" applyAlignment="1" applyProtection="1">
      <alignment horizontal="center"/>
    </xf>
    <xf numFmtId="41" fontId="3" fillId="0" borderId="0" xfId="0" applyNumberFormat="1" applyFont="1" applyProtection="1"/>
    <xf numFmtId="41" fontId="9" fillId="0" borderId="0" xfId="0" applyNumberFormat="1" applyFont="1" applyProtection="1"/>
    <xf numFmtId="41" fontId="11" fillId="0" borderId="0" xfId="0" applyNumberFormat="1" applyFont="1"/>
    <xf numFmtId="41" fontId="13" fillId="0" borderId="0" xfId="0" applyNumberFormat="1" applyFont="1"/>
    <xf numFmtId="41" fontId="10" fillId="0" borderId="0" xfId="0" applyNumberFormat="1" applyFont="1" applyBorder="1" applyProtection="1"/>
    <xf numFmtId="41" fontId="10" fillId="0" borderId="0" xfId="0" applyNumberFormat="1" applyFont="1" applyProtection="1"/>
    <xf numFmtId="41" fontId="3" fillId="0" borderId="0" xfId="0" applyNumberFormat="1" applyFont="1" applyBorder="1" applyProtection="1"/>
    <xf numFmtId="0" fontId="3" fillId="0" borderId="3" xfId="0" applyFont="1" applyBorder="1"/>
    <xf numFmtId="37" fontId="3" fillId="0" borderId="0" xfId="0" applyNumberFormat="1" applyFont="1" applyBorder="1" applyProtection="1"/>
    <xf numFmtId="10" fontId="3" fillId="0" borderId="0" xfId="1" applyNumberFormat="1" applyFont="1"/>
    <xf numFmtId="10" fontId="3" fillId="3" borderId="0" xfId="0" applyNumberFormat="1" applyFont="1" applyFill="1"/>
    <xf numFmtId="10" fontId="3" fillId="0" borderId="0" xfId="0" applyNumberFormat="1" applyFont="1"/>
    <xf numFmtId="0" fontId="3" fillId="0" borderId="0" xfId="0" applyFont="1" applyAlignment="1">
      <alignment horizontal="left" indent="4"/>
    </xf>
    <xf numFmtId="42" fontId="14" fillId="0" borderId="0" xfId="0" applyNumberFormat="1" applyFont="1" applyBorder="1" applyProtection="1"/>
    <xf numFmtId="42" fontId="3" fillId="0" borderId="0" xfId="0" applyNumberFormat="1" applyFont="1" applyProtection="1"/>
    <xf numFmtId="41" fontId="3" fillId="0" borderId="0" xfId="1" applyFont="1" applyFill="1" applyProtection="1"/>
    <xf numFmtId="41" fontId="3" fillId="0" borderId="0" xfId="1" applyFont="1" applyFill="1" applyBorder="1" applyProtection="1"/>
    <xf numFmtId="41" fontId="9" fillId="0" borderId="0" xfId="1" applyFont="1" applyFill="1" applyBorder="1" applyProtection="1"/>
    <xf numFmtId="0" fontId="3" fillId="0" borderId="0" xfId="1" quotePrefix="1" applyNumberFormat="1" applyFont="1" applyAlignment="1" applyProtection="1">
      <alignment horizontal="center"/>
    </xf>
    <xf numFmtId="0" fontId="3" fillId="0" borderId="0" xfId="0" applyNumberFormat="1" applyFont="1"/>
    <xf numFmtId="0" fontId="3" fillId="0" borderId="0" xfId="0" quotePrefix="1" applyNumberFormat="1" applyFont="1" applyAlignment="1" applyProtection="1">
      <alignment horizontal="center"/>
    </xf>
    <xf numFmtId="0" fontId="3" fillId="0" borderId="0" xfId="0" applyNumberFormat="1" applyFont="1" applyAlignment="1"/>
    <xf numFmtId="41" fontId="9" fillId="0" borderId="0" xfId="1" applyFont="1" applyProtection="1"/>
    <xf numFmtId="0" fontId="20" fillId="0" borderId="0" xfId="0" applyFont="1"/>
    <xf numFmtId="0" fontId="3" fillId="0" borderId="0" xfId="0" applyFont="1" applyFill="1"/>
    <xf numFmtId="41" fontId="3" fillId="0" borderId="0" xfId="1" applyFont="1" applyFill="1"/>
    <xf numFmtId="0" fontId="3" fillId="0" borderId="3" xfId="0" applyFont="1" applyFill="1" applyBorder="1"/>
    <xf numFmtId="41" fontId="3" fillId="0" borderId="0" xfId="1" applyFont="1" applyFill="1" applyAlignment="1">
      <alignment horizontal="center"/>
    </xf>
    <xf numFmtId="0" fontId="3" fillId="0" borderId="0" xfId="1" quotePrefix="1" applyNumberFormat="1" applyFont="1" applyFill="1" applyAlignment="1">
      <alignment horizontal="center"/>
    </xf>
    <xf numFmtId="0" fontId="3" fillId="0" borderId="0" xfId="0" applyNumberFormat="1" applyFont="1" applyFill="1"/>
    <xf numFmtId="41" fontId="9" fillId="0" borderId="0" xfId="1" applyFont="1" applyFill="1" applyBorder="1" applyAlignment="1">
      <alignment horizontal="center"/>
    </xf>
    <xf numFmtId="0" fontId="3" fillId="0" borderId="4" xfId="0" applyFont="1" applyFill="1" applyBorder="1"/>
    <xf numFmtId="0" fontId="3" fillId="0" borderId="0" xfId="0" applyFont="1" applyFill="1" applyBorder="1"/>
    <xf numFmtId="42" fontId="3" fillId="0" borderId="0" xfId="1" applyNumberFormat="1" applyFont="1" applyFill="1" applyProtection="1"/>
    <xf numFmtId="5" fontId="3" fillId="0" borderId="0" xfId="0" applyNumberFormat="1" applyFont="1" applyFill="1" applyProtection="1"/>
    <xf numFmtId="5" fontId="3" fillId="0" borderId="3" xfId="0" applyNumberFormat="1" applyFont="1" applyFill="1" applyBorder="1" applyProtection="1"/>
    <xf numFmtId="37" fontId="3" fillId="0" borderId="0" xfId="0" applyNumberFormat="1" applyFont="1" applyFill="1" applyProtection="1"/>
    <xf numFmtId="37" fontId="3" fillId="0" borderId="3" xfId="0" applyNumberFormat="1" applyFont="1" applyFill="1" applyBorder="1" applyProtection="1"/>
    <xf numFmtId="0" fontId="4" fillId="0" borderId="0" xfId="0" applyFont="1" applyFill="1" applyBorder="1" applyAlignment="1">
      <alignment horizontal="center"/>
    </xf>
    <xf numFmtId="37" fontId="3" fillId="0" borderId="0" xfId="0" applyNumberFormat="1" applyFont="1" applyFill="1" applyBorder="1" applyProtection="1"/>
    <xf numFmtId="41" fontId="3" fillId="0" borderId="0" xfId="1" applyFont="1" applyFill="1" applyBorder="1"/>
    <xf numFmtId="41" fontId="3" fillId="0" borderId="0" xfId="0" applyNumberFormat="1" applyFont="1" applyFill="1"/>
    <xf numFmtId="41" fontId="3" fillId="0" borderId="3" xfId="0" applyNumberFormat="1" applyFont="1" applyFill="1" applyBorder="1" applyProtection="1"/>
    <xf numFmtId="41" fontId="3" fillId="0" borderId="0" xfId="0" applyNumberFormat="1" applyFont="1" applyFill="1" applyProtection="1"/>
    <xf numFmtId="0" fontId="15" fillId="0" borderId="5" xfId="0" applyFont="1" applyFill="1" applyBorder="1" applyAlignment="1">
      <alignment horizontal="center"/>
    </xf>
    <xf numFmtId="41" fontId="3" fillId="0" borderId="6" xfId="1" applyFont="1" applyFill="1" applyBorder="1"/>
    <xf numFmtId="0" fontId="3" fillId="0" borderId="6" xfId="0" applyFont="1" applyFill="1" applyBorder="1"/>
    <xf numFmtId="0" fontId="16" fillId="0" borderId="0" xfId="0" applyFont="1" applyFill="1" applyAlignment="1">
      <alignment horizontal="center"/>
    </xf>
    <xf numFmtId="41" fontId="17" fillId="0" borderId="0" xfId="1" applyFont="1" applyFill="1"/>
    <xf numFmtId="0" fontId="9" fillId="0" borderId="0" xfId="0" applyFont="1" applyFill="1"/>
    <xf numFmtId="10" fontId="3" fillId="0" borderId="0" xfId="1" applyNumberFormat="1" applyFont="1" applyFill="1"/>
    <xf numFmtId="10" fontId="3" fillId="0" borderId="0" xfId="0" applyNumberFormat="1" applyFont="1" applyFill="1"/>
    <xf numFmtId="41" fontId="5" fillId="0" borderId="0" xfId="0" applyNumberFormat="1" applyFont="1" applyFill="1"/>
    <xf numFmtId="10" fontId="5" fillId="0" borderId="0" xfId="1" applyNumberFormat="1" applyFont="1" applyFill="1"/>
    <xf numFmtId="10" fontId="5" fillId="0" borderId="0" xfId="0" applyNumberFormat="1" applyFont="1" applyFill="1"/>
    <xf numFmtId="41" fontId="18" fillId="0" borderId="0" xfId="0" applyNumberFormat="1" applyFont="1" applyFill="1"/>
    <xf numFmtId="10" fontId="8" fillId="0" borderId="0" xfId="1" applyNumberFormat="1" applyFont="1" applyFill="1"/>
    <xf numFmtId="10" fontId="8" fillId="0" borderId="0" xfId="0" applyNumberFormat="1" applyFont="1" applyFill="1"/>
    <xf numFmtId="41" fontId="9" fillId="0" borderId="0" xfId="1" applyFont="1" applyFill="1" applyProtection="1"/>
    <xf numFmtId="0" fontId="3" fillId="0" borderId="0" xfId="0" applyFont="1" applyFill="1" applyAlignment="1">
      <alignment horizontal="centerContinuous"/>
    </xf>
    <xf numFmtId="41" fontId="3" fillId="0" borderId="0" xfId="1" applyFont="1" applyFill="1" applyAlignment="1">
      <alignment horizontal="centerContinuous"/>
    </xf>
    <xf numFmtId="41" fontId="3" fillId="0" borderId="1" xfId="1" applyFont="1" applyFill="1" applyBorder="1" applyProtection="1"/>
    <xf numFmtId="41" fontId="3" fillId="0" borderId="1" xfId="1" applyFont="1" applyFill="1" applyBorder="1"/>
    <xf numFmtId="41" fontId="3" fillId="0" borderId="1" xfId="1" applyFont="1" applyFill="1" applyBorder="1" applyAlignment="1" applyProtection="1">
      <alignment horizontal="center"/>
    </xf>
    <xf numFmtId="0" fontId="3" fillId="0" borderId="0" xfId="1" quotePrefix="1" applyNumberFormat="1" applyFont="1" applyFill="1" applyAlignment="1" applyProtection="1">
      <alignment horizontal="center"/>
    </xf>
    <xf numFmtId="0" fontId="3" fillId="0" borderId="0" xfId="1" applyNumberFormat="1" applyFont="1" applyFill="1"/>
    <xf numFmtId="0" fontId="4" fillId="0" borderId="0" xfId="0" applyFont="1" applyFill="1"/>
    <xf numFmtId="41" fontId="9" fillId="0" borderId="0" xfId="1" applyFont="1" applyFill="1" applyBorder="1"/>
    <xf numFmtId="0" fontId="3" fillId="0" borderId="0" xfId="0" applyFont="1" applyFill="1" applyBorder="1" applyAlignment="1">
      <alignment horizontal="centerContinuous"/>
    </xf>
    <xf numFmtId="41" fontId="3" fillId="0" borderId="1" xfId="1" applyFont="1" applyFill="1" applyBorder="1" applyAlignment="1">
      <alignment horizontal="center"/>
    </xf>
    <xf numFmtId="0" fontId="15" fillId="0" borderId="0" xfId="0" applyFont="1" applyFill="1" applyAlignment="1">
      <alignment horizontal="center"/>
    </xf>
    <xf numFmtId="0" fontId="3" fillId="0" borderId="0" xfId="0" applyFont="1" applyFill="1" applyAlignment="1">
      <alignment horizontal="left" indent="1"/>
    </xf>
    <xf numFmtId="0" fontId="3" fillId="0" borderId="0" xfId="0" applyFont="1" applyFill="1" applyAlignment="1">
      <alignment horizontal="center"/>
    </xf>
    <xf numFmtId="0" fontId="3" fillId="0" borderId="0" xfId="0" applyFont="1" applyFill="1" applyAlignment="1">
      <alignment horizontal="fill"/>
    </xf>
    <xf numFmtId="7" fontId="3" fillId="0" borderId="0" xfId="0" applyNumberFormat="1" applyFont="1" applyFill="1" applyProtection="1"/>
    <xf numFmtId="39" fontId="3" fillId="0" borderId="0" xfId="0" applyNumberFormat="1" applyFont="1" applyFill="1" applyProtection="1"/>
    <xf numFmtId="164" fontId="3" fillId="0" borderId="0" xfId="0" applyNumberFormat="1" applyFont="1" applyFill="1" applyProtection="1"/>
    <xf numFmtId="0" fontId="3" fillId="0" borderId="0" xfId="0" applyFont="1" applyFill="1" applyAlignment="1">
      <alignment horizontal="right"/>
    </xf>
    <xf numFmtId="39" fontId="3" fillId="0" borderId="0" xfId="0" applyNumberFormat="1" applyFont="1" applyFill="1" applyAlignment="1" applyProtection="1">
      <alignment horizontal="right"/>
    </xf>
    <xf numFmtId="39" fontId="3" fillId="0" borderId="0" xfId="0" applyNumberFormat="1" applyFont="1" applyFill="1" applyAlignment="1" applyProtection="1">
      <alignment horizontal="fill"/>
    </xf>
    <xf numFmtId="41" fontId="21" fillId="0" borderId="0" xfId="1" applyFont="1" applyBorder="1" applyProtection="1"/>
    <xf numFmtId="41" fontId="4" fillId="0" borderId="0" xfId="1" applyFont="1" applyProtection="1"/>
    <xf numFmtId="42" fontId="18" fillId="0" borderId="0" xfId="1" applyNumberFormat="1" applyFont="1" applyFill="1" applyBorder="1" applyProtection="1"/>
    <xf numFmtId="42" fontId="18" fillId="0" borderId="0" xfId="1" applyNumberFormat="1" applyFont="1" applyBorder="1" applyProtection="1"/>
    <xf numFmtId="0" fontId="9" fillId="0" borderId="0" xfId="0" applyFont="1"/>
    <xf numFmtId="0" fontId="3" fillId="0" borderId="3" xfId="0" applyNumberFormat="1" applyFont="1" applyFill="1" applyBorder="1"/>
    <xf numFmtId="41" fontId="3" fillId="0" borderId="0" xfId="1" applyNumberFormat="1" applyFont="1" applyFill="1"/>
    <xf numFmtId="0" fontId="20" fillId="0" borderId="0" xfId="0" applyFont="1" applyAlignment="1">
      <alignment horizontal="right"/>
    </xf>
    <xf numFmtId="0" fontId="20" fillId="0" borderId="0" xfId="0" applyFont="1" applyAlignment="1">
      <alignment horizontal="centerContinuous"/>
    </xf>
    <xf numFmtId="0" fontId="20" fillId="0" borderId="0" xfId="0" applyFont="1" applyAlignment="1">
      <alignment horizontal="center"/>
    </xf>
    <xf numFmtId="0" fontId="20" fillId="0" borderId="1" xfId="0" applyFont="1" applyBorder="1" applyAlignment="1">
      <alignment horizontal="center"/>
    </xf>
    <xf numFmtId="14" fontId="20" fillId="0" borderId="1" xfId="0" applyNumberFormat="1" applyFont="1" applyBorder="1" applyAlignment="1">
      <alignment horizontal="center"/>
    </xf>
    <xf numFmtId="14" fontId="20" fillId="0" borderId="0" xfId="0" applyNumberFormat="1" applyFont="1" applyBorder="1" applyAlignment="1">
      <alignment horizontal="center"/>
    </xf>
    <xf numFmtId="0" fontId="20" fillId="0" borderId="1" xfId="0" applyFont="1" applyBorder="1"/>
    <xf numFmtId="37" fontId="20" fillId="0" borderId="0" xfId="0" applyNumberFormat="1" applyFont="1" applyProtection="1"/>
    <xf numFmtId="0" fontId="22" fillId="0" borderId="0" xfId="0" applyFont="1"/>
    <xf numFmtId="0" fontId="20" fillId="0" borderId="0" xfId="0" applyFont="1" applyAlignment="1">
      <alignment horizontal="left" indent="1"/>
    </xf>
    <xf numFmtId="42" fontId="20" fillId="0" borderId="0" xfId="0" applyNumberFormat="1" applyFont="1" applyProtection="1"/>
    <xf numFmtId="14" fontId="20" fillId="0" borderId="0" xfId="0" applyNumberFormat="1" applyFont="1"/>
    <xf numFmtId="41" fontId="20" fillId="0" borderId="0" xfId="1" applyFont="1"/>
    <xf numFmtId="14" fontId="22" fillId="0" borderId="0" xfId="0" applyNumberFormat="1" applyFont="1"/>
    <xf numFmtId="0" fontId="3" fillId="0" borderId="0" xfId="1" applyNumberFormat="1" applyFont="1" applyFill="1" applyAlignment="1">
      <alignment horizontal="center"/>
    </xf>
    <xf numFmtId="41" fontId="9" fillId="0" borderId="0" xfId="1" applyFont="1" applyFill="1"/>
    <xf numFmtId="41" fontId="9" fillId="0" borderId="7" xfId="1" applyFont="1" applyFill="1" applyBorder="1" applyAlignment="1">
      <alignment horizontal="center"/>
    </xf>
    <xf numFmtId="0" fontId="3" fillId="0" borderId="0" xfId="0" applyFont="1" applyFill="1" applyAlignment="1"/>
    <xf numFmtId="16" fontId="3" fillId="0" borderId="0" xfId="0" quotePrefix="1" applyNumberFormat="1" applyFont="1" applyAlignment="1">
      <alignment horizontal="center"/>
    </xf>
    <xf numFmtId="0" fontId="4" fillId="0" borderId="0" xfId="0" applyFont="1" applyAlignment="1">
      <alignment horizontal="center"/>
    </xf>
    <xf numFmtId="41" fontId="3" fillId="0" borderId="0" xfId="1" applyFont="1" applyAlignment="1" applyProtection="1">
      <alignment horizontal="center"/>
    </xf>
    <xf numFmtId="43" fontId="3" fillId="0" borderId="0" xfId="0" applyNumberFormat="1" applyFont="1"/>
    <xf numFmtId="169" fontId="3" fillId="0" borderId="0" xfId="0" applyNumberFormat="1" applyFont="1"/>
    <xf numFmtId="37" fontId="9" fillId="0" borderId="0" xfId="0" applyNumberFormat="1" applyFont="1" applyProtection="1"/>
    <xf numFmtId="167" fontId="9" fillId="0" borderId="0" xfId="1" applyNumberFormat="1" applyFont="1" applyFill="1" applyBorder="1" applyProtection="1"/>
    <xf numFmtId="167" fontId="3" fillId="0" borderId="0" xfId="1" applyNumberFormat="1" applyFont="1" applyFill="1"/>
    <xf numFmtId="167" fontId="3" fillId="0" borderId="0" xfId="1" applyNumberFormat="1" applyFont="1" applyFill="1" applyProtection="1"/>
    <xf numFmtId="14" fontId="20" fillId="0" borderId="0" xfId="0" applyNumberFormat="1" applyFont="1" applyBorder="1"/>
    <xf numFmtId="44" fontId="3" fillId="0" borderId="0" xfId="0" applyNumberFormat="1" applyFont="1"/>
    <xf numFmtId="42" fontId="3" fillId="0" borderId="0" xfId="0" applyNumberFormat="1" applyFont="1"/>
    <xf numFmtId="5" fontId="3" fillId="0" borderId="0" xfId="0" applyNumberFormat="1" applyFont="1" applyFill="1" applyBorder="1" applyProtection="1"/>
    <xf numFmtId="167" fontId="9" fillId="0" borderId="0" xfId="1" applyNumberFormat="1" applyFont="1" applyFill="1" applyProtection="1"/>
    <xf numFmtId="166" fontId="3" fillId="0" borderId="0" xfId="1" applyNumberFormat="1" applyFont="1" applyFill="1" applyProtection="1"/>
    <xf numFmtId="167" fontId="3" fillId="0" borderId="0" xfId="0" applyNumberFormat="1" applyFont="1" applyFill="1" applyProtection="1"/>
    <xf numFmtId="167" fontId="3" fillId="0" borderId="0" xfId="0" applyNumberFormat="1" applyFont="1" applyFill="1"/>
    <xf numFmtId="167" fontId="3" fillId="0" borderId="0" xfId="1" applyNumberFormat="1" applyFont="1" applyProtection="1"/>
    <xf numFmtId="167" fontId="3" fillId="0" borderId="0" xfId="0" applyNumberFormat="1" applyFont="1"/>
    <xf numFmtId="0" fontId="3" fillId="0" borderId="0" xfId="0" applyFont="1" applyAlignment="1">
      <alignment horizontal="left" indent="2"/>
    </xf>
    <xf numFmtId="41" fontId="9" fillId="0" borderId="0" xfId="1" applyFont="1"/>
    <xf numFmtId="167" fontId="9" fillId="0" borderId="0" xfId="1" applyNumberFormat="1" applyFont="1" applyBorder="1"/>
    <xf numFmtId="167" fontId="9" fillId="0" borderId="0" xfId="1" applyNumberFormat="1" applyFont="1" applyBorder="1" applyProtection="1"/>
    <xf numFmtId="167" fontId="9" fillId="0" borderId="0" xfId="1" applyNumberFormat="1" applyFont="1" applyProtection="1"/>
    <xf numFmtId="166" fontId="18" fillId="0" borderId="0" xfId="1" applyNumberFormat="1" applyFont="1" applyBorder="1" applyProtection="1"/>
    <xf numFmtId="167" fontId="4" fillId="0" borderId="0" xfId="1" applyNumberFormat="1" applyFont="1" applyProtection="1"/>
    <xf numFmtId="167" fontId="21" fillId="0" borderId="0" xfId="1" applyNumberFormat="1" applyFont="1" applyBorder="1" applyProtection="1"/>
    <xf numFmtId="166" fontId="3" fillId="0" borderId="0" xfId="0" applyNumberFormat="1" applyFont="1" applyProtection="1"/>
    <xf numFmtId="167" fontId="9" fillId="0" borderId="0" xfId="0" applyNumberFormat="1" applyFont="1" applyProtection="1"/>
    <xf numFmtId="167" fontId="5" fillId="0" borderId="0" xfId="0" applyNumberFormat="1" applyFont="1" applyProtection="1"/>
    <xf numFmtId="167" fontId="10" fillId="0" borderId="0" xfId="0" applyNumberFormat="1" applyFont="1" applyProtection="1"/>
    <xf numFmtId="167" fontId="3" fillId="0" borderId="0" xfId="0" applyNumberFormat="1" applyFont="1" applyFill="1" applyBorder="1"/>
    <xf numFmtId="166" fontId="3" fillId="0" borderId="0" xfId="0" applyNumberFormat="1" applyFont="1" applyFill="1" applyProtection="1"/>
    <xf numFmtId="166" fontId="3" fillId="0" borderId="0" xfId="0" applyNumberFormat="1" applyFont="1" applyFill="1"/>
    <xf numFmtId="0" fontId="3" fillId="0" borderId="2" xfId="0" applyFont="1" applyBorder="1" applyAlignment="1">
      <alignment horizontal="center"/>
    </xf>
    <xf numFmtId="10" fontId="3" fillId="0" borderId="0" xfId="4" applyNumberFormat="1" applyFont="1"/>
    <xf numFmtId="41" fontId="20" fillId="0" borderId="0" xfId="1" applyFont="1" applyFill="1" applyAlignment="1">
      <alignment horizontal="centerContinuous"/>
    </xf>
    <xf numFmtId="41" fontId="20" fillId="0" borderId="0" xfId="1" applyFont="1" applyFill="1"/>
    <xf numFmtId="0" fontId="20" fillId="0" borderId="0" xfId="0" applyFont="1" applyFill="1"/>
    <xf numFmtId="41" fontId="20" fillId="0" borderId="1" xfId="1" applyFont="1" applyFill="1" applyBorder="1" applyProtection="1"/>
    <xf numFmtId="41" fontId="20" fillId="0" borderId="1" xfId="1" applyFont="1" applyFill="1" applyBorder="1"/>
    <xf numFmtId="41" fontId="20" fillId="0" borderId="1" xfId="1" applyFont="1" applyFill="1" applyBorder="1" applyAlignment="1" applyProtection="1">
      <alignment horizontal="center"/>
    </xf>
    <xf numFmtId="0" fontId="20" fillId="0" borderId="0" xfId="1" applyNumberFormat="1" applyFont="1" applyFill="1" applyAlignment="1">
      <alignment horizontal="center"/>
    </xf>
    <xf numFmtId="0" fontId="20" fillId="0" borderId="0" xfId="0" applyNumberFormat="1" applyFont="1"/>
    <xf numFmtId="0" fontId="20" fillId="0" borderId="0" xfId="1" applyNumberFormat="1" applyFont="1" applyFill="1"/>
    <xf numFmtId="0" fontId="20" fillId="0" borderId="0" xfId="1" quotePrefix="1" applyNumberFormat="1" applyFont="1" applyFill="1" applyAlignment="1" applyProtection="1">
      <alignment horizontal="center"/>
    </xf>
    <xf numFmtId="0" fontId="22" fillId="0" borderId="0" xfId="0" applyFont="1" applyFill="1"/>
    <xf numFmtId="41" fontId="20" fillId="0" borderId="0" xfId="1" applyFont="1" applyFill="1" applyProtection="1"/>
    <xf numFmtId="5" fontId="20" fillId="0" borderId="0" xfId="0" applyNumberFormat="1" applyFont="1" applyFill="1" applyProtection="1"/>
    <xf numFmtId="42" fontId="20" fillId="0" borderId="0" xfId="1" applyNumberFormat="1" applyFont="1" applyFill="1" applyProtection="1"/>
    <xf numFmtId="167" fontId="20" fillId="0" borderId="0" xfId="1" applyNumberFormat="1" applyFont="1" applyFill="1" applyProtection="1"/>
    <xf numFmtId="167" fontId="23" fillId="0" borderId="0" xfId="1" applyNumberFormat="1" applyFont="1" applyFill="1" applyBorder="1" applyProtection="1"/>
    <xf numFmtId="41" fontId="23" fillId="0" borderId="0" xfId="1" applyFont="1" applyFill="1" applyBorder="1" applyProtection="1"/>
    <xf numFmtId="41" fontId="20" fillId="0" borderId="0" xfId="1" applyNumberFormat="1" applyFont="1" applyFill="1" applyProtection="1"/>
    <xf numFmtId="41" fontId="23" fillId="0" borderId="0" xfId="1" applyFont="1" applyFill="1" applyBorder="1"/>
    <xf numFmtId="41" fontId="24" fillId="0" borderId="0" xfId="1" applyFont="1" applyFill="1"/>
    <xf numFmtId="41" fontId="24" fillId="0" borderId="0" xfId="1" applyFont="1" applyFill="1" applyProtection="1"/>
    <xf numFmtId="42" fontId="25" fillId="0" borderId="0" xfId="1" applyNumberFormat="1" applyFont="1" applyFill="1" applyBorder="1" applyProtection="1"/>
    <xf numFmtId="41" fontId="20" fillId="0" borderId="0" xfId="1" applyFont="1" applyFill="1" applyAlignment="1">
      <alignment horizontal="center"/>
    </xf>
    <xf numFmtId="41" fontId="20" fillId="0" borderId="2" xfId="1" applyFont="1" applyFill="1" applyBorder="1" applyAlignment="1">
      <alignment horizontal="center"/>
    </xf>
    <xf numFmtId="41" fontId="23" fillId="0" borderId="0" xfId="1" applyFont="1" applyFill="1"/>
    <xf numFmtId="41" fontId="3" fillId="0" borderId="2" xfId="1" applyFont="1" applyBorder="1" applyAlignment="1" applyProtection="1">
      <alignment horizontal="center"/>
    </xf>
    <xf numFmtId="0" fontId="3" fillId="0" borderId="0" xfId="0" applyNumberFormat="1" applyFont="1" applyFill="1" applyBorder="1" applyAlignment="1">
      <alignment horizontal="center"/>
    </xf>
    <xf numFmtId="0" fontId="5" fillId="0" borderId="0" xfId="0" applyFont="1" applyFill="1" applyBorder="1" applyAlignment="1">
      <alignment horizontal="center"/>
    </xf>
    <xf numFmtId="10" fontId="3" fillId="0" borderId="0" xfId="4" applyNumberFormat="1" applyFont="1" applyProtection="1"/>
    <xf numFmtId="41" fontId="9" fillId="0" borderId="0" xfId="1" applyNumberFormat="1" applyFont="1" applyBorder="1" applyProtection="1"/>
    <xf numFmtId="37" fontId="9" fillId="2" borderId="0" xfId="0" applyNumberFormat="1" applyFont="1" applyFill="1" applyProtection="1"/>
    <xf numFmtId="167" fontId="9" fillId="0" borderId="0" xfId="1" applyNumberFormat="1" applyFont="1" applyFill="1"/>
    <xf numFmtId="168" fontId="3" fillId="0" borderId="0" xfId="1" applyNumberFormat="1" applyFont="1" applyFill="1"/>
    <xf numFmtId="168" fontId="3" fillId="0" borderId="0" xfId="1" applyNumberFormat="1" applyFont="1" applyFill="1" applyProtection="1"/>
    <xf numFmtId="172" fontId="20" fillId="0" borderId="0" xfId="1" applyNumberFormat="1" applyFont="1" applyFill="1"/>
    <xf numFmtId="0" fontId="3" fillId="4" borderId="0" xfId="0" applyFont="1" applyFill="1" applyBorder="1"/>
    <xf numFmtId="37" fontId="3" fillId="0" borderId="0" xfId="3" applyFont="1"/>
    <xf numFmtId="37" fontId="3" fillId="0" borderId="0" xfId="3" applyFont="1" applyBorder="1"/>
    <xf numFmtId="37" fontId="3" fillId="0" borderId="0" xfId="3" applyFont="1" applyAlignment="1">
      <alignment horizontal="centerContinuous"/>
    </xf>
    <xf numFmtId="37" fontId="3" fillId="0" borderId="0" xfId="3" applyFont="1" applyBorder="1" applyAlignment="1">
      <alignment horizontal="centerContinuous"/>
    </xf>
    <xf numFmtId="37" fontId="26" fillId="0" borderId="0" xfId="3" applyFont="1" applyAlignment="1">
      <alignment horizontal="centerContinuous"/>
    </xf>
    <xf numFmtId="37" fontId="3" fillId="0" borderId="0" xfId="3" quotePrefix="1" applyFont="1"/>
    <xf numFmtId="37" fontId="3" fillId="0" borderId="0" xfId="3" applyFont="1" applyAlignment="1">
      <alignment horizontal="left"/>
    </xf>
    <xf numFmtId="37" fontId="3" fillId="0" borderId="8" xfId="3" applyFont="1" applyBorder="1" applyAlignment="1">
      <alignment horizontal="left"/>
    </xf>
    <xf numFmtId="37" fontId="3" fillId="0" borderId="8" xfId="3" applyFont="1" applyBorder="1"/>
    <xf numFmtId="37" fontId="3" fillId="0" borderId="1" xfId="3" applyFont="1" applyBorder="1"/>
    <xf numFmtId="37" fontId="3" fillId="0" borderId="0" xfId="3" applyFont="1" applyAlignment="1">
      <alignment horizontal="center"/>
    </xf>
    <xf numFmtId="37" fontId="27" fillId="0" borderId="0" xfId="3" applyFont="1" applyProtection="1">
      <protection locked="0"/>
    </xf>
    <xf numFmtId="37" fontId="27" fillId="0" borderId="0" xfId="3" applyFont="1" applyBorder="1" applyProtection="1">
      <protection locked="0"/>
    </xf>
    <xf numFmtId="5" fontId="3" fillId="0" borderId="0" xfId="3" applyNumberFormat="1" applyFont="1" applyProtection="1"/>
    <xf numFmtId="5" fontId="3" fillId="0" borderId="0" xfId="3" applyNumberFormat="1" applyFont="1" applyBorder="1" applyProtection="1"/>
    <xf numFmtId="37" fontId="3" fillId="0" borderId="0" xfId="3" applyNumberFormat="1" applyFont="1" applyProtection="1"/>
    <xf numFmtId="37" fontId="3" fillId="0" borderId="0" xfId="3" applyNumberFormat="1" applyFont="1" applyBorder="1" applyProtection="1"/>
    <xf numFmtId="5" fontId="27" fillId="0" borderId="0" xfId="3" applyNumberFormat="1" applyFont="1" applyProtection="1">
      <protection locked="0"/>
    </xf>
    <xf numFmtId="5" fontId="27" fillId="0" borderId="0" xfId="3" applyNumberFormat="1" applyFont="1" applyBorder="1" applyProtection="1">
      <protection locked="0"/>
    </xf>
    <xf numFmtId="37" fontId="3" fillId="0" borderId="0" xfId="3" applyFont="1" applyAlignment="1">
      <alignment horizontal="left" indent="1"/>
    </xf>
    <xf numFmtId="41" fontId="20" fillId="0" borderId="0" xfId="1" applyNumberFormat="1" applyFont="1" applyFill="1"/>
    <xf numFmtId="166" fontId="9" fillId="0" borderId="0" xfId="1" applyNumberFormat="1" applyFont="1" applyBorder="1" applyAlignment="1" applyProtection="1">
      <alignment horizontal="center"/>
    </xf>
    <xf numFmtId="166" fontId="9" fillId="0" borderId="0" xfId="1" applyNumberFormat="1" applyFont="1" applyBorder="1"/>
    <xf numFmtId="166" fontId="3" fillId="0" borderId="0" xfId="1" applyNumberFormat="1" applyFont="1" applyProtection="1"/>
    <xf numFmtId="168" fontId="9" fillId="0" borderId="0" xfId="1" applyNumberFormat="1" applyFont="1" applyFill="1" applyProtection="1"/>
    <xf numFmtId="168" fontId="23" fillId="0" borderId="0" xfId="1" applyNumberFormat="1" applyFont="1" applyFill="1" applyBorder="1" applyProtection="1"/>
    <xf numFmtId="168" fontId="20" fillId="0" borderId="0" xfId="1" applyNumberFormat="1" applyFont="1" applyFill="1" applyProtection="1"/>
    <xf numFmtId="168" fontId="3" fillId="0" borderId="0" xfId="1" applyNumberFormat="1" applyFont="1" applyProtection="1"/>
    <xf numFmtId="173" fontId="18" fillId="0" borderId="0" xfId="1" applyNumberFormat="1" applyFont="1" applyFill="1" applyBorder="1" applyProtection="1"/>
    <xf numFmtId="0" fontId="20" fillId="0" borderId="0" xfId="0" applyFont="1" applyFill="1" applyAlignment="1">
      <alignment horizontal="left" indent="2"/>
    </xf>
    <xf numFmtId="0" fontId="3" fillId="0" borderId="0" xfId="0" applyFont="1" applyFill="1" applyAlignment="1">
      <alignment horizontal="left" indent="2"/>
    </xf>
    <xf numFmtId="168" fontId="9" fillId="0" borderId="0" xfId="1" applyNumberFormat="1" applyFont="1" applyFill="1"/>
    <xf numFmtId="10" fontId="5" fillId="0" borderId="0" xfId="4" applyNumberFormat="1" applyFont="1"/>
    <xf numFmtId="41" fontId="23" fillId="0" borderId="0" xfId="1" applyFont="1" applyFill="1" applyProtection="1"/>
    <xf numFmtId="0" fontId="4" fillId="0" borderId="0" xfId="0" applyFont="1" applyFill="1" applyAlignment="1">
      <alignment horizontal="center"/>
    </xf>
    <xf numFmtId="0" fontId="4" fillId="0" borderId="0" xfId="0" applyFont="1" applyFill="1" applyAlignment="1">
      <alignment horizontal="center"/>
    </xf>
    <xf numFmtId="168" fontId="23" fillId="0" borderId="0" xfId="1" applyNumberFormat="1" applyFont="1" applyFill="1" applyProtection="1"/>
    <xf numFmtId="167" fontId="3" fillId="0" borderId="0" xfId="1" applyNumberFormat="1" applyFont="1" applyBorder="1" applyProtection="1"/>
    <xf numFmtId="41" fontId="18" fillId="0" borderId="0" xfId="1" applyFont="1" applyFill="1" applyBorder="1" applyProtection="1"/>
    <xf numFmtId="167" fontId="21" fillId="0" borderId="0" xfId="1" applyNumberFormat="1" applyFont="1" applyProtection="1"/>
    <xf numFmtId="10" fontId="20" fillId="0" borderId="0" xfId="1" applyNumberFormat="1" applyFont="1" applyFill="1"/>
    <xf numFmtId="0" fontId="4" fillId="0" borderId="0" xfId="0" applyFont="1" applyFill="1" applyAlignment="1">
      <alignment horizontal="center"/>
    </xf>
    <xf numFmtId="0" fontId="20" fillId="0" borderId="0" xfId="0" applyFont="1" applyBorder="1" applyAlignment="1">
      <alignment horizontal="center"/>
    </xf>
    <xf numFmtId="41" fontId="20" fillId="0" borderId="2" xfId="1" applyFont="1" applyFill="1" applyBorder="1"/>
    <xf numFmtId="41" fontId="20" fillId="0" borderId="1" xfId="1" applyFont="1" applyBorder="1"/>
    <xf numFmtId="41" fontId="20" fillId="0" borderId="0" xfId="1" applyFont="1" applyFill="1" applyBorder="1"/>
    <xf numFmtId="0" fontId="20" fillId="0" borderId="0" xfId="1" quotePrefix="1" applyNumberFormat="1" applyFont="1" applyFill="1" applyBorder="1" applyAlignment="1">
      <alignment horizontal="center"/>
    </xf>
    <xf numFmtId="0" fontId="20" fillId="0" borderId="0" xfId="0" applyNumberFormat="1" applyFont="1" applyAlignment="1">
      <alignment horizontal="center"/>
    </xf>
    <xf numFmtId="0" fontId="20" fillId="0" borderId="0" xfId="1" quotePrefix="1" applyNumberFormat="1" applyFont="1" applyAlignment="1">
      <alignment horizontal="center"/>
    </xf>
    <xf numFmtId="41" fontId="20" fillId="0" borderId="1" xfId="1" applyFont="1" applyBorder="1" applyAlignment="1">
      <alignment horizontal="center"/>
    </xf>
    <xf numFmtId="41" fontId="20" fillId="0" borderId="0" xfId="1" applyFont="1" applyFill="1" applyBorder="1" applyProtection="1"/>
    <xf numFmtId="37" fontId="22" fillId="0" borderId="0" xfId="0" applyNumberFormat="1" applyFont="1" applyProtection="1"/>
    <xf numFmtId="41" fontId="22" fillId="0" borderId="0" xfId="1" applyFont="1" applyFill="1" applyBorder="1" applyProtection="1"/>
    <xf numFmtId="0" fontId="22" fillId="0" borderId="0" xfId="0" applyFont="1" applyAlignment="1">
      <alignment vertical="center"/>
    </xf>
    <xf numFmtId="0" fontId="5" fillId="0" borderId="0" xfId="0" applyFont="1"/>
    <xf numFmtId="168" fontId="9" fillId="0" borderId="0" xfId="1" applyNumberFormat="1" applyFont="1" applyFill="1" applyAlignment="1" applyProtection="1">
      <alignment vertical="center"/>
    </xf>
    <xf numFmtId="5" fontId="18" fillId="0" borderId="0" xfId="0" applyNumberFormat="1" applyFont="1" applyFill="1" applyBorder="1" applyProtection="1"/>
    <xf numFmtId="0" fontId="18" fillId="0" borderId="0" xfId="0" applyFont="1" applyFill="1" applyBorder="1"/>
    <xf numFmtId="166" fontId="18" fillId="0" borderId="0" xfId="0" applyNumberFormat="1" applyFont="1" applyFill="1" applyBorder="1" applyProtection="1"/>
    <xf numFmtId="166" fontId="18" fillId="0" borderId="0" xfId="0" applyNumberFormat="1" applyFont="1" applyFill="1" applyBorder="1"/>
    <xf numFmtId="41" fontId="3" fillId="0" borderId="1" xfId="1" applyFont="1" applyBorder="1" applyAlignment="1">
      <alignment horizontal="center"/>
    </xf>
    <xf numFmtId="174" fontId="3" fillId="0" borderId="0" xfId="5" applyNumberFormat="1" applyFont="1" applyFill="1" applyProtection="1"/>
    <xf numFmtId="168" fontId="9" fillId="0" borderId="0" xfId="1" applyNumberFormat="1" applyFont="1" applyBorder="1" applyProtection="1"/>
    <xf numFmtId="41" fontId="3" fillId="0" borderId="0" xfId="1" applyFont="1" applyFill="1" applyProtection="1"/>
    <xf numFmtId="41" fontId="9" fillId="0" borderId="0" xfId="1" applyFont="1" applyFill="1" applyBorder="1" applyProtection="1"/>
    <xf numFmtId="42" fontId="3" fillId="0" borderId="0" xfId="1" applyNumberFormat="1" applyFont="1" applyFill="1" applyProtection="1"/>
    <xf numFmtId="41" fontId="3" fillId="0" borderId="0" xfId="1" applyFont="1" applyProtection="1"/>
    <xf numFmtId="41" fontId="9" fillId="0" borderId="0" xfId="1" applyFont="1" applyBorder="1" applyProtection="1"/>
    <xf numFmtId="41" fontId="3" fillId="0" borderId="0" xfId="1" applyFont="1" applyFill="1" applyProtection="1"/>
    <xf numFmtId="42" fontId="3" fillId="0" borderId="0" xfId="1" applyNumberFormat="1" applyFont="1" applyFill="1" applyProtection="1"/>
    <xf numFmtId="41" fontId="3" fillId="0" borderId="0" xfId="1" applyFont="1" applyFill="1" applyProtection="1"/>
    <xf numFmtId="41" fontId="3" fillId="0" borderId="0" xfId="1" applyFont="1" applyFill="1" applyProtection="1"/>
    <xf numFmtId="41" fontId="9" fillId="0" borderId="0" xfId="1" applyFont="1" applyFill="1" applyBorder="1" applyProtection="1"/>
    <xf numFmtId="41" fontId="3" fillId="0" borderId="0" xfId="1" applyFont="1" applyProtection="1"/>
    <xf numFmtId="41" fontId="3" fillId="0" borderId="0" xfId="1" applyFont="1" applyFill="1" applyProtection="1"/>
    <xf numFmtId="167" fontId="9" fillId="0" borderId="0" xfId="1" applyNumberFormat="1" applyFont="1" applyProtection="1"/>
    <xf numFmtId="41" fontId="9" fillId="0" borderId="0" xfId="1" applyFont="1" applyFill="1" applyProtection="1"/>
    <xf numFmtId="41" fontId="3" fillId="0" borderId="0" xfId="1" applyFont="1" applyProtection="1"/>
    <xf numFmtId="41" fontId="9" fillId="0" borderId="0" xfId="1" applyFont="1" applyFill="1" applyBorder="1" applyProtection="1"/>
    <xf numFmtId="41" fontId="9" fillId="0" borderId="0" xfId="1" applyFont="1" applyBorder="1" applyProtection="1"/>
    <xf numFmtId="42" fontId="3" fillId="0" borderId="0" xfId="1" applyNumberFormat="1" applyFont="1" applyFill="1" applyProtection="1"/>
    <xf numFmtId="42" fontId="3" fillId="0" borderId="0" xfId="1" applyNumberFormat="1" applyFont="1" applyProtection="1"/>
    <xf numFmtId="41" fontId="9" fillId="0" borderId="0" xfId="1" applyFont="1" applyProtection="1"/>
    <xf numFmtId="41" fontId="3" fillId="0" borderId="0" xfId="1" applyFont="1" applyFill="1" applyProtection="1"/>
    <xf numFmtId="41" fontId="9" fillId="0" borderId="0" xfId="1" applyFont="1" applyFill="1" applyBorder="1" applyProtection="1"/>
    <xf numFmtId="41" fontId="3" fillId="0" borderId="0" xfId="1" applyFont="1" applyProtection="1"/>
    <xf numFmtId="167" fontId="3" fillId="0" borderId="0" xfId="1" applyNumberFormat="1" applyFont="1" applyProtection="1"/>
    <xf numFmtId="41" fontId="3" fillId="0" borderId="0" xfId="1" applyFont="1" applyFill="1" applyProtection="1"/>
    <xf numFmtId="41" fontId="9" fillId="0" borderId="0" xfId="1" applyFont="1" applyFill="1" applyBorder="1" applyProtection="1"/>
    <xf numFmtId="41" fontId="3" fillId="0" borderId="0" xfId="1" applyFont="1" applyProtection="1"/>
    <xf numFmtId="41" fontId="3" fillId="0" borderId="0" xfId="0" applyNumberFormat="1" applyFont="1"/>
    <xf numFmtId="41" fontId="3" fillId="0" borderId="0" xfId="1" applyFont="1" applyFill="1"/>
    <xf numFmtId="0" fontId="3" fillId="0" borderId="0" xfId="0" applyFont="1" applyAlignment="1">
      <alignment horizontal="left" indent="2"/>
    </xf>
    <xf numFmtId="41" fontId="20" fillId="0" borderId="0" xfId="1" applyFont="1" applyFill="1"/>
    <xf numFmtId="41" fontId="20" fillId="0" borderId="0" xfId="1" applyFont="1" applyFill="1" applyProtection="1"/>
    <xf numFmtId="167" fontId="23" fillId="0" borderId="0" xfId="1" applyNumberFormat="1" applyFont="1" applyFill="1" applyBorder="1" applyProtection="1"/>
    <xf numFmtId="41" fontId="23" fillId="0" borderId="0" xfId="1" applyFont="1" applyFill="1" applyBorder="1" applyProtection="1"/>
    <xf numFmtId="41" fontId="23" fillId="0" borderId="0" xfId="1" applyFont="1" applyFill="1" applyBorder="1"/>
    <xf numFmtId="42" fontId="25" fillId="0" borderId="0" xfId="1" applyNumberFormat="1" applyFont="1" applyFill="1" applyBorder="1" applyProtection="1"/>
    <xf numFmtId="168" fontId="23" fillId="0" borderId="0" xfId="1" applyNumberFormat="1" applyFont="1" applyFill="1" applyBorder="1" applyProtection="1"/>
    <xf numFmtId="42" fontId="20" fillId="0" borderId="0" xfId="1" applyNumberFormat="1" applyFont="1" applyFill="1" applyProtection="1"/>
    <xf numFmtId="42" fontId="20" fillId="0" borderId="0" xfId="1" applyNumberFormat="1" applyFont="1" applyFill="1" applyProtection="1"/>
    <xf numFmtId="41" fontId="23" fillId="0" borderId="0" xfId="1" applyFont="1" applyFill="1" applyProtection="1"/>
    <xf numFmtId="41" fontId="20" fillId="0" borderId="0" xfId="1" applyFont="1" applyFill="1" applyProtection="1"/>
    <xf numFmtId="41" fontId="23" fillId="0" borderId="0" xfId="1" applyFont="1" applyFill="1" applyBorder="1" applyProtection="1"/>
    <xf numFmtId="41" fontId="23" fillId="0" borderId="0" xfId="1" applyFont="1" applyFill="1" applyBorder="1" applyProtection="1"/>
    <xf numFmtId="41" fontId="20" fillId="0" borderId="0" xfId="1" applyFont="1" applyFill="1" applyProtection="1"/>
    <xf numFmtId="41" fontId="23" fillId="0" borderId="0" xfId="1" applyFont="1" applyFill="1" applyBorder="1" applyProtection="1"/>
    <xf numFmtId="41" fontId="23" fillId="0" borderId="0" xfId="1" applyFont="1" applyFill="1" applyBorder="1" applyProtection="1"/>
    <xf numFmtId="41" fontId="20" fillId="0" borderId="0" xfId="1" applyFont="1" applyFill="1" applyProtection="1"/>
    <xf numFmtId="168" fontId="23" fillId="0" borderId="0" xfId="1" applyNumberFormat="1" applyFont="1" applyFill="1" applyBorder="1" applyProtection="1"/>
    <xf numFmtId="167" fontId="23" fillId="0" borderId="0" xfId="1" applyNumberFormat="1" applyFont="1" applyFill="1" applyBorder="1" applyProtection="1"/>
    <xf numFmtId="41" fontId="20" fillId="0" borderId="0" xfId="1" applyNumberFormat="1" applyFont="1" applyFill="1" applyProtection="1"/>
    <xf numFmtId="41" fontId="23" fillId="0" borderId="0" xfId="1" applyFont="1" applyFill="1" applyBorder="1" applyProtection="1"/>
    <xf numFmtId="168" fontId="23" fillId="0" borderId="0" xfId="1" applyNumberFormat="1" applyFont="1" applyFill="1" applyBorder="1" applyProtection="1"/>
    <xf numFmtId="168" fontId="20" fillId="0" borderId="0" xfId="1" applyNumberFormat="1" applyFont="1" applyFill="1" applyProtection="1"/>
    <xf numFmtId="167" fontId="23" fillId="0" borderId="0" xfId="1" applyNumberFormat="1" applyFont="1" applyFill="1" applyBorder="1" applyProtection="1"/>
    <xf numFmtId="168" fontId="20" fillId="0" borderId="0" xfId="1" applyNumberFormat="1" applyFont="1" applyFill="1" applyProtection="1"/>
    <xf numFmtId="167" fontId="20" fillId="0" borderId="0" xfId="1" applyNumberFormat="1" applyFont="1" applyFill="1" applyProtection="1"/>
    <xf numFmtId="168" fontId="20" fillId="0" borderId="0" xfId="1" applyNumberFormat="1" applyFont="1" applyFill="1" applyProtection="1"/>
    <xf numFmtId="167" fontId="20" fillId="0" borderId="0" xfId="1" applyNumberFormat="1" applyFont="1" applyFill="1" applyProtection="1"/>
    <xf numFmtId="168" fontId="20" fillId="0" borderId="0" xfId="1" applyNumberFormat="1" applyFont="1" applyFill="1" applyProtection="1"/>
    <xf numFmtId="41" fontId="3" fillId="0" borderId="0" xfId="1" applyFont="1" applyProtection="1"/>
    <xf numFmtId="41" fontId="9" fillId="0" borderId="0" xfId="1" applyNumberFormat="1" applyFont="1" applyBorder="1" applyProtection="1"/>
    <xf numFmtId="42" fontId="3" fillId="0" borderId="0" xfId="1" applyNumberFormat="1" applyFont="1" applyFill="1" applyProtection="1"/>
    <xf numFmtId="41" fontId="9" fillId="0" borderId="0" xfId="1" applyFont="1" applyFill="1" applyProtection="1"/>
    <xf numFmtId="41" fontId="3" fillId="0" borderId="0" xfId="1" applyFont="1" applyFill="1" applyProtection="1"/>
    <xf numFmtId="42" fontId="3" fillId="0" borderId="0" xfId="1" applyNumberFormat="1" applyFont="1" applyFill="1" applyProtection="1"/>
    <xf numFmtId="41" fontId="3" fillId="0" borderId="0" xfId="1" applyFont="1" applyFill="1" applyProtection="1"/>
    <xf numFmtId="42" fontId="3" fillId="0" borderId="0" xfId="1" applyNumberFormat="1" applyFont="1" applyFill="1" applyProtection="1"/>
    <xf numFmtId="41" fontId="9" fillId="0" borderId="0" xfId="1" applyFont="1" applyFill="1" applyBorder="1" applyProtection="1"/>
    <xf numFmtId="42" fontId="3" fillId="0" borderId="0" xfId="1" applyNumberFormat="1" applyFont="1" applyFill="1" applyProtection="1"/>
    <xf numFmtId="168" fontId="3" fillId="0" borderId="0" xfId="1" applyNumberFormat="1" applyFont="1" applyFill="1" applyProtection="1"/>
    <xf numFmtId="168" fontId="3" fillId="0" borderId="0" xfId="1" applyNumberFormat="1" applyFont="1" applyFill="1" applyProtection="1"/>
    <xf numFmtId="41" fontId="3" fillId="0" borderId="0" xfId="1" applyFont="1" applyFill="1" applyProtection="1"/>
    <xf numFmtId="42" fontId="3" fillId="0" borderId="0" xfId="1" applyNumberFormat="1" applyFont="1" applyFill="1" applyProtection="1"/>
    <xf numFmtId="42" fontId="3" fillId="0" borderId="0" xfId="1" applyNumberFormat="1" applyFont="1" applyFill="1" applyProtection="1"/>
    <xf numFmtId="41" fontId="9" fillId="0" borderId="0" xfId="1" applyFont="1" applyFill="1" applyProtection="1"/>
    <xf numFmtId="168" fontId="3" fillId="0" borderId="0" xfId="1" applyNumberFormat="1" applyFont="1" applyFill="1" applyBorder="1"/>
    <xf numFmtId="41" fontId="3" fillId="0" borderId="7" xfId="1" applyFont="1" applyFill="1" applyBorder="1" applyProtection="1"/>
    <xf numFmtId="0" fontId="3" fillId="0" borderId="0" xfId="0" applyFont="1"/>
    <xf numFmtId="0" fontId="3" fillId="0" borderId="0" xfId="0" applyFont="1" applyBorder="1"/>
    <xf numFmtId="41" fontId="9" fillId="0" borderId="0" xfId="1" applyNumberFormat="1" applyFont="1" applyFill="1" applyBorder="1" applyProtection="1"/>
    <xf numFmtId="37" fontId="3" fillId="0" borderId="3" xfId="0" applyNumberFormat="1" applyFont="1" applyFill="1" applyBorder="1" applyProtection="1"/>
    <xf numFmtId="41" fontId="3" fillId="0" borderId="3" xfId="0" applyNumberFormat="1" applyFont="1" applyFill="1" applyBorder="1" applyProtection="1"/>
    <xf numFmtId="167" fontId="3" fillId="0" borderId="0" xfId="1" applyNumberFormat="1" applyFont="1" applyFill="1" applyBorder="1"/>
    <xf numFmtId="41" fontId="3" fillId="0" borderId="0" xfId="1" applyFont="1" applyFill="1" applyBorder="1" applyProtection="1"/>
    <xf numFmtId="167" fontId="3" fillId="0" borderId="0" xfId="1" applyNumberFormat="1" applyFont="1" applyFill="1" applyBorder="1" applyProtection="1"/>
    <xf numFmtId="168" fontId="9" fillId="0" borderId="0" xfId="1" applyNumberFormat="1" applyFont="1" applyFill="1" applyBorder="1" applyProtection="1"/>
    <xf numFmtId="173" fontId="18" fillId="0" borderId="0" xfId="1" applyNumberFormat="1" applyFont="1" applyFill="1" applyBorder="1" applyProtection="1"/>
    <xf numFmtId="41" fontId="3" fillId="0" borderId="0" xfId="1" applyFont="1"/>
    <xf numFmtId="41" fontId="3" fillId="0" borderId="0" xfId="1" applyFont="1" applyProtection="1"/>
    <xf numFmtId="41" fontId="9" fillId="0" borderId="0" xfId="1" applyFont="1" applyBorder="1" applyProtection="1"/>
    <xf numFmtId="167" fontId="9" fillId="0" borderId="0" xfId="1" applyNumberFormat="1" applyFont="1" applyFill="1" applyProtection="1"/>
    <xf numFmtId="42" fontId="3" fillId="0" borderId="0" xfId="1" applyNumberFormat="1" applyFont="1" applyFill="1" applyProtection="1"/>
    <xf numFmtId="168" fontId="9" fillId="0" borderId="0" xfId="1" applyNumberFormat="1" applyFont="1" applyFill="1" applyProtection="1"/>
    <xf numFmtId="167" fontId="9" fillId="0" borderId="0" xfId="1" applyNumberFormat="1" applyFont="1" applyFill="1" applyBorder="1" applyProtection="1"/>
    <xf numFmtId="41" fontId="3" fillId="0" borderId="0" xfId="1" applyFont="1" applyFill="1" applyProtection="1"/>
    <xf numFmtId="41" fontId="9" fillId="0" borderId="0" xfId="1" applyFont="1" applyFill="1" applyBorder="1" applyProtection="1"/>
    <xf numFmtId="167" fontId="3" fillId="0" borderId="0" xfId="1" applyNumberFormat="1" applyFont="1" applyFill="1" applyProtection="1"/>
    <xf numFmtId="0" fontId="3" fillId="0" borderId="0" xfId="0" applyFont="1" applyFill="1" applyAlignment="1">
      <alignment horizontal="left" indent="4"/>
    </xf>
    <xf numFmtId="0" fontId="20" fillId="0" borderId="0" xfId="0" applyFont="1" applyAlignment="1">
      <alignment vertical="center"/>
    </xf>
    <xf numFmtId="41" fontId="9" fillId="0" borderId="0" xfId="0" applyNumberFormat="1" applyFont="1" applyFill="1" applyProtection="1"/>
    <xf numFmtId="0" fontId="22" fillId="0" borderId="0" xfId="0" applyFont="1" applyAlignment="1">
      <alignment horizontal="left"/>
    </xf>
    <xf numFmtId="37" fontId="24" fillId="0" borderId="0" xfId="0" applyNumberFormat="1" applyFont="1" applyProtection="1"/>
    <xf numFmtId="0" fontId="22" fillId="0" borderId="0" xfId="0" applyFont="1" applyAlignment="1">
      <alignment horizontal="left" indent="4"/>
    </xf>
    <xf numFmtId="174" fontId="20" fillId="0" borderId="0" xfId="5" applyNumberFormat="1" applyFont="1" applyProtection="1"/>
    <xf numFmtId="174" fontId="24" fillId="0" borderId="0" xfId="5" applyNumberFormat="1" applyFont="1" applyProtection="1"/>
    <xf numFmtId="174" fontId="20" fillId="0" borderId="0" xfId="5" applyNumberFormat="1" applyFont="1"/>
    <xf numFmtId="41" fontId="3" fillId="0" borderId="0" xfId="1" applyFont="1" applyFill="1" applyAlignment="1" applyProtection="1">
      <alignment horizontal="center"/>
    </xf>
    <xf numFmtId="0" fontId="3" fillId="0" borderId="0" xfId="0" applyFont="1" applyAlignment="1">
      <alignment horizontal="left" indent="3"/>
    </xf>
    <xf numFmtId="41" fontId="9" fillId="0" borderId="0" xfId="0" applyNumberFormat="1" applyFont="1"/>
    <xf numFmtId="166" fontId="18" fillId="0" borderId="0" xfId="1" applyNumberFormat="1" applyFont="1" applyBorder="1"/>
    <xf numFmtId="167" fontId="18" fillId="0" borderId="0" xfId="1" applyNumberFormat="1" applyFont="1" applyBorder="1"/>
    <xf numFmtId="172" fontId="3" fillId="0" borderId="0" xfId="1" applyNumberFormat="1" applyFont="1" applyFill="1"/>
    <xf numFmtId="174" fontId="25" fillId="0" borderId="0" xfId="5" applyNumberFormat="1" applyFont="1" applyProtection="1"/>
    <xf numFmtId="42" fontId="25" fillId="0" borderId="0" xfId="5" applyNumberFormat="1" applyFont="1" applyProtection="1"/>
    <xf numFmtId="41" fontId="3" fillId="0" borderId="1" xfId="1" applyFont="1" applyFill="1" applyBorder="1" applyAlignment="1">
      <alignment horizontal="center"/>
    </xf>
    <xf numFmtId="0" fontId="4" fillId="0" borderId="0" xfId="0" applyFont="1" applyFill="1" applyAlignment="1">
      <alignment horizontal="center"/>
    </xf>
    <xf numFmtId="41" fontId="3" fillId="0" borderId="1" xfId="1" applyFont="1" applyFill="1" applyBorder="1" applyAlignment="1" applyProtection="1">
      <alignment horizontal="center"/>
    </xf>
    <xf numFmtId="42" fontId="28" fillId="0" borderId="0" xfId="1" applyNumberFormat="1" applyFont="1" applyFill="1" applyBorder="1" applyProtection="1"/>
    <xf numFmtId="0" fontId="28" fillId="0" borderId="0" xfId="0" applyFont="1"/>
    <xf numFmtId="41" fontId="28" fillId="0" borderId="0" xfId="1" applyFont="1" applyFill="1" applyBorder="1" applyProtection="1"/>
    <xf numFmtId="37" fontId="28" fillId="0" borderId="0" xfId="0" applyNumberFormat="1" applyFont="1" applyProtection="1"/>
    <xf numFmtId="41" fontId="29" fillId="0" borderId="0" xfId="1" applyFont="1" applyFill="1" applyBorder="1" applyProtection="1"/>
    <xf numFmtId="41" fontId="28" fillId="0" borderId="0" xfId="1" applyFont="1" applyFill="1" applyBorder="1" applyAlignment="1" applyProtection="1">
      <alignment vertical="center"/>
    </xf>
    <xf numFmtId="167" fontId="30" fillId="0" borderId="0" xfId="1" applyNumberFormat="1" applyFont="1" applyProtection="1"/>
    <xf numFmtId="37" fontId="29" fillId="0" borderId="0" xfId="0" applyNumberFormat="1" applyFont="1" applyProtection="1"/>
    <xf numFmtId="41" fontId="31" fillId="0" borderId="0" xfId="1" applyFont="1" applyFill="1" applyBorder="1" applyAlignment="1" applyProtection="1">
      <alignment vertical="center"/>
    </xf>
    <xf numFmtId="37" fontId="32" fillId="0" borderId="0" xfId="0" applyNumberFormat="1" applyFont="1" applyAlignment="1" applyProtection="1">
      <alignment vertical="center"/>
    </xf>
    <xf numFmtId="41" fontId="29" fillId="0" borderId="0" xfId="1" applyFont="1" applyBorder="1" applyProtection="1"/>
    <xf numFmtId="167" fontId="33" fillId="0" borderId="0" xfId="1" applyNumberFormat="1" applyFont="1" applyBorder="1" applyProtection="1"/>
    <xf numFmtId="168" fontId="29" fillId="0" borderId="0" xfId="1" applyNumberFormat="1" applyFont="1" applyFill="1" applyBorder="1" applyAlignment="1" applyProtection="1">
      <alignment horizontal="left"/>
    </xf>
    <xf numFmtId="167" fontId="29" fillId="0" borderId="0" xfId="1" applyNumberFormat="1" applyFont="1" applyBorder="1" applyProtection="1"/>
    <xf numFmtId="41" fontId="32" fillId="0" borderId="0" xfId="1" applyFont="1" applyFill="1" applyBorder="1" applyProtection="1"/>
    <xf numFmtId="37" fontId="32" fillId="0" borderId="0" xfId="0" applyNumberFormat="1" applyFont="1" applyProtection="1"/>
    <xf numFmtId="42" fontId="34" fillId="0" borderId="0" xfId="1" applyNumberFormat="1" applyFont="1" applyFill="1" applyBorder="1" applyProtection="1"/>
    <xf numFmtId="42" fontId="34" fillId="0" borderId="0" xfId="1" applyNumberFormat="1" applyFont="1" applyBorder="1" applyProtection="1"/>
    <xf numFmtId="41" fontId="35" fillId="0" borderId="0" xfId="1" applyFont="1" applyFill="1" applyBorder="1"/>
    <xf numFmtId="0" fontId="35" fillId="0" borderId="0" xfId="0" applyFont="1"/>
    <xf numFmtId="41" fontId="35" fillId="0" borderId="0" xfId="1" applyFont="1"/>
    <xf numFmtId="42" fontId="35" fillId="0" borderId="0" xfId="1" applyNumberFormat="1" applyFont="1" applyProtection="1"/>
    <xf numFmtId="41" fontId="35" fillId="0" borderId="0" xfId="1" applyFont="1" applyProtection="1"/>
    <xf numFmtId="41" fontId="33" fillId="0" borderId="0" xfId="1" applyFont="1" applyBorder="1" applyProtection="1"/>
    <xf numFmtId="41" fontId="33" fillId="0" borderId="0" xfId="1" applyFont="1" applyFill="1" applyBorder="1" applyProtection="1"/>
    <xf numFmtId="41" fontId="33" fillId="0" borderId="0" xfId="1" applyFont="1" applyProtection="1"/>
    <xf numFmtId="41" fontId="33" fillId="0" borderId="0" xfId="1" applyFont="1" applyFill="1" applyProtection="1"/>
    <xf numFmtId="41" fontId="35" fillId="0" borderId="0" xfId="1" applyFont="1" applyFill="1" applyProtection="1"/>
    <xf numFmtId="42" fontId="36" fillId="0" borderId="0" xfId="1" applyNumberFormat="1" applyFont="1" applyBorder="1" applyProtection="1"/>
    <xf numFmtId="42" fontId="35" fillId="0" borderId="0" xfId="1" applyNumberFormat="1" applyFont="1" applyFill="1" applyProtection="1"/>
    <xf numFmtId="37" fontId="35" fillId="0" borderId="0" xfId="0" applyNumberFormat="1" applyFont="1" applyProtection="1"/>
    <xf numFmtId="167" fontId="35" fillId="0" borderId="0" xfId="1" applyNumberFormat="1" applyFont="1" applyProtection="1"/>
    <xf numFmtId="168" fontId="33" fillId="0" borderId="0" xfId="1" applyNumberFormat="1" applyFont="1" applyBorder="1" applyProtection="1"/>
    <xf numFmtId="37" fontId="33" fillId="0" borderId="0" xfId="0" applyNumberFormat="1" applyFont="1" applyProtection="1"/>
    <xf numFmtId="0" fontId="33" fillId="0" borderId="0" xfId="0" applyFont="1"/>
    <xf numFmtId="41" fontId="35" fillId="0" borderId="0" xfId="1" applyFont="1" applyFill="1"/>
    <xf numFmtId="42" fontId="36" fillId="0" borderId="0" xfId="1" applyNumberFormat="1" applyFont="1" applyFill="1" applyBorder="1" applyProtection="1"/>
    <xf numFmtId="41" fontId="37" fillId="0" borderId="0" xfId="1" applyFont="1" applyFill="1" applyProtection="1"/>
    <xf numFmtId="41" fontId="38" fillId="0" borderId="0" xfId="1" applyFont="1" applyFill="1" applyBorder="1" applyProtection="1"/>
    <xf numFmtId="167" fontId="35" fillId="0" borderId="0" xfId="1" applyNumberFormat="1" applyFont="1" applyFill="1" applyProtection="1"/>
    <xf numFmtId="10" fontId="35" fillId="0" borderId="0" xfId="4" applyNumberFormat="1" applyFont="1"/>
    <xf numFmtId="10" fontId="39" fillId="0" borderId="0" xfId="4" applyNumberFormat="1" applyFont="1"/>
    <xf numFmtId="10" fontId="40" fillId="0" borderId="0" xfId="4" applyNumberFormat="1" applyFont="1"/>
    <xf numFmtId="10" fontId="33" fillId="0" borderId="0" xfId="4" applyNumberFormat="1" applyFont="1"/>
    <xf numFmtId="5" fontId="35" fillId="0" borderId="0" xfId="0" applyNumberFormat="1" applyFont="1" applyProtection="1"/>
    <xf numFmtId="168" fontId="35" fillId="0" borderId="0" xfId="1" applyNumberFormat="1" applyFont="1" applyProtection="1"/>
    <xf numFmtId="41" fontId="35" fillId="0" borderId="0" xfId="1" applyFont="1" applyBorder="1" applyProtection="1"/>
    <xf numFmtId="168" fontId="35" fillId="0" borderId="0" xfId="1" applyNumberFormat="1" applyFont="1" applyFill="1" applyProtection="1"/>
    <xf numFmtId="41" fontId="33" fillId="0" borderId="0" xfId="1" applyFont="1" applyFill="1" applyAlignment="1" applyProtection="1">
      <alignment vertical="center"/>
    </xf>
    <xf numFmtId="168" fontId="33" fillId="0" borderId="0" xfId="1" applyNumberFormat="1" applyFont="1" applyFill="1" applyAlignment="1" applyProtection="1">
      <alignment vertical="center"/>
    </xf>
    <xf numFmtId="43" fontId="3" fillId="0" borderId="0" xfId="5" applyFont="1" applyFill="1" applyProtection="1"/>
    <xf numFmtId="41" fontId="35" fillId="0" borderId="0" xfId="0" applyNumberFormat="1" applyFont="1"/>
    <xf numFmtId="174" fontId="3" fillId="0" borderId="0" xfId="5" applyNumberFormat="1" applyFont="1" applyFill="1" applyAlignment="1" applyProtection="1">
      <alignment vertical="center"/>
    </xf>
    <xf numFmtId="174" fontId="9" fillId="0" borderId="0" xfId="5" applyNumberFormat="1" applyFont="1" applyFill="1" applyBorder="1" applyProtection="1"/>
    <xf numFmtId="174" fontId="33" fillId="0" borderId="0" xfId="5" applyNumberFormat="1" applyFont="1" applyFill="1" applyBorder="1" applyProtection="1"/>
    <xf numFmtId="174" fontId="36" fillId="0" borderId="0" xfId="5" applyNumberFormat="1" applyFont="1" applyFill="1" applyBorder="1" applyProtection="1"/>
    <xf numFmtId="168" fontId="3" fillId="0" borderId="0" xfId="1" applyNumberFormat="1" applyFont="1" applyFill="1" applyAlignment="1" applyProtection="1">
      <alignment horizontal="left" indent="1"/>
    </xf>
    <xf numFmtId="0" fontId="35" fillId="0" borderId="0" xfId="0" applyFont="1" applyFill="1"/>
    <xf numFmtId="10" fontId="35" fillId="0" borderId="0" xfId="4" applyNumberFormat="1" applyFont="1" applyFill="1"/>
    <xf numFmtId="10" fontId="39" fillId="0" borderId="0" xfId="4" applyNumberFormat="1" applyFont="1" applyFill="1"/>
    <xf numFmtId="37" fontId="35" fillId="0" borderId="0" xfId="0" applyNumberFormat="1" applyFont="1" applyFill="1" applyProtection="1"/>
    <xf numFmtId="43" fontId="3" fillId="0" borderId="0" xfId="0" applyNumberFormat="1" applyFont="1" applyFill="1"/>
    <xf numFmtId="168" fontId="33" fillId="0" borderId="0" xfId="1" applyNumberFormat="1" applyFont="1" applyFill="1" applyBorder="1" applyProtection="1"/>
    <xf numFmtId="37" fontId="33" fillId="0" borderId="0" xfId="0" applyNumberFormat="1" applyFont="1" applyFill="1" applyProtection="1"/>
    <xf numFmtId="0" fontId="33" fillId="0" borderId="0" xfId="0" applyFont="1" applyFill="1"/>
    <xf numFmtId="41" fontId="33" fillId="0" borderId="0" xfId="1" applyFont="1" applyFill="1"/>
    <xf numFmtId="10" fontId="40" fillId="0" borderId="0" xfId="4" applyNumberFormat="1" applyFont="1" applyFill="1"/>
    <xf numFmtId="42" fontId="3" fillId="0" borderId="0" xfId="0" applyNumberFormat="1" applyFont="1" applyFill="1"/>
    <xf numFmtId="37" fontId="9" fillId="0" borderId="0" xfId="0" applyNumberFormat="1" applyFont="1" applyFill="1" applyProtection="1"/>
    <xf numFmtId="10" fontId="33" fillId="0" borderId="0" xfId="4" applyNumberFormat="1" applyFont="1" applyFill="1"/>
    <xf numFmtId="5" fontId="35" fillId="0" borderId="0" xfId="0" applyNumberFormat="1" applyFont="1" applyFill="1" applyProtection="1"/>
    <xf numFmtId="41" fontId="3" fillId="0" borderId="0" xfId="1" applyFont="1" applyFill="1" applyAlignment="1" applyProtection="1">
      <alignment horizontal="centerContinuous"/>
    </xf>
    <xf numFmtId="171" fontId="35" fillId="0" borderId="0" xfId="1" applyNumberFormat="1" applyFont="1" applyFill="1" applyProtection="1"/>
    <xf numFmtId="10" fontId="39" fillId="0" borderId="0" xfId="4" applyNumberFormat="1" applyFont="1" applyFill="1" applyBorder="1"/>
    <xf numFmtId="41" fontId="35" fillId="0" borderId="0" xfId="1" applyFont="1" applyFill="1" applyBorder="1" applyProtection="1"/>
    <xf numFmtId="0" fontId="3" fillId="0" borderId="2" xfId="0" applyFont="1" applyFill="1" applyBorder="1" applyAlignment="1">
      <alignment horizontal="center"/>
    </xf>
    <xf numFmtId="41" fontId="4" fillId="0" borderId="0" xfId="1" applyFont="1" applyFill="1" applyProtection="1"/>
    <xf numFmtId="9" fontId="3" fillId="0" borderId="0" xfId="0" applyNumberFormat="1" applyFont="1" applyFill="1"/>
    <xf numFmtId="174" fontId="3" fillId="0" borderId="0" xfId="5" applyNumberFormat="1" applyFont="1" applyFill="1"/>
    <xf numFmtId="168" fontId="3" fillId="0" borderId="0" xfId="0" applyNumberFormat="1" applyFont="1" applyFill="1"/>
    <xf numFmtId="174" fontId="3" fillId="0" borderId="0" xfId="1" applyNumberFormat="1" applyFont="1" applyFill="1" applyProtection="1"/>
    <xf numFmtId="174" fontId="0" fillId="0" borderId="0" xfId="5" applyNumberFormat="1" applyFont="1" applyFill="1"/>
    <xf numFmtId="174" fontId="5" fillId="0" borderId="0" xfId="5" applyNumberFormat="1" applyFont="1" applyFill="1"/>
    <xf numFmtId="0" fontId="3" fillId="0" borderId="0" xfId="0" applyFont="1" applyFill="1" applyAlignment="1">
      <alignment horizontal="left" vertical="center"/>
    </xf>
    <xf numFmtId="0" fontId="3" fillId="0" borderId="0" xfId="0" applyFont="1" applyFill="1" applyAlignment="1">
      <alignment vertical="center"/>
    </xf>
    <xf numFmtId="0" fontId="9" fillId="0" borderId="0" xfId="0" applyFont="1" applyFill="1" applyAlignment="1">
      <alignment vertical="center"/>
    </xf>
    <xf numFmtId="9" fontId="35" fillId="0" borderId="0" xfId="4" applyFont="1" applyFill="1" applyAlignment="1">
      <alignment vertical="center"/>
    </xf>
    <xf numFmtId="0" fontId="3" fillId="0" borderId="0" xfId="0" applyFont="1" applyFill="1" applyAlignment="1">
      <alignment horizontal="left" vertical="center" indent="2"/>
    </xf>
    <xf numFmtId="174" fontId="9" fillId="0" borderId="0" xfId="5" applyNumberFormat="1" applyFont="1" applyFill="1" applyProtection="1"/>
    <xf numFmtId="41" fontId="35" fillId="0" borderId="0" xfId="0" applyNumberFormat="1" applyFont="1" applyFill="1"/>
    <xf numFmtId="167" fontId="33" fillId="0" borderId="0" xfId="1" applyNumberFormat="1" applyFont="1" applyFill="1" applyBorder="1" applyProtection="1"/>
    <xf numFmtId="168" fontId="35" fillId="0" borderId="0" xfId="1" applyNumberFormat="1" applyFont="1" applyFill="1"/>
    <xf numFmtId="168" fontId="33" fillId="0" borderId="0" xfId="1" applyNumberFormat="1" applyFont="1" applyFill="1"/>
    <xf numFmtId="168" fontId="33" fillId="0" borderId="0" xfId="1" applyNumberFormat="1" applyFont="1" applyFill="1" applyProtection="1"/>
    <xf numFmtId="41" fontId="33" fillId="0" borderId="0" xfId="1" applyFont="1" applyFill="1" applyBorder="1"/>
    <xf numFmtId="174" fontId="9" fillId="0" borderId="0" xfId="5" applyNumberFormat="1" applyFont="1" applyFill="1"/>
    <xf numFmtId="174" fontId="9" fillId="0" borderId="0" xfId="5" applyNumberFormat="1" applyFont="1" applyFill="1" applyBorder="1"/>
    <xf numFmtId="174" fontId="18" fillId="0" borderId="0" xfId="5" applyNumberFormat="1" applyFont="1" applyFill="1" applyBorder="1" applyProtection="1"/>
    <xf numFmtId="174" fontId="3" fillId="0" borderId="0" xfId="5" applyNumberFormat="1" applyFont="1" applyFill="1" applyBorder="1" applyProtection="1"/>
    <xf numFmtId="41" fontId="39" fillId="0" borderId="0" xfId="1" applyFont="1" applyFill="1"/>
    <xf numFmtId="41" fontId="39" fillId="0" borderId="0" xfId="1" applyFont="1" applyFill="1" applyProtection="1"/>
    <xf numFmtId="174" fontId="35" fillId="0" borderId="0" xfId="5" applyNumberFormat="1" applyFont="1" applyFill="1"/>
    <xf numFmtId="167" fontId="33" fillId="0" borderId="0" xfId="1" applyNumberFormat="1" applyFont="1" applyProtection="1"/>
    <xf numFmtId="0" fontId="35" fillId="0" borderId="0" xfId="0" applyFont="1" applyBorder="1"/>
    <xf numFmtId="43" fontId="3" fillId="0" borderId="0" xfId="5" applyFont="1" applyFill="1" applyBorder="1"/>
    <xf numFmtId="175" fontId="3" fillId="0" borderId="0" xfId="2" applyNumberFormat="1" applyFont="1" applyFill="1" applyProtection="1"/>
    <xf numFmtId="174" fontId="3" fillId="0" borderId="7" xfId="5" applyNumberFormat="1" applyFont="1" applyFill="1" applyBorder="1" applyProtection="1"/>
    <xf numFmtId="174" fontId="3" fillId="0" borderId="0" xfId="5" applyNumberFormat="1" applyFont="1" applyFill="1" applyBorder="1"/>
    <xf numFmtId="167" fontId="35" fillId="0" borderId="0" xfId="1" applyNumberFormat="1" applyFont="1" applyFill="1" applyBorder="1"/>
    <xf numFmtId="168" fontId="35" fillId="0" borderId="0" xfId="1" applyNumberFormat="1" applyFont="1" applyFill="1" applyBorder="1"/>
    <xf numFmtId="167" fontId="35" fillId="0" borderId="0" xfId="1" applyNumberFormat="1" applyFont="1" applyFill="1" applyBorder="1" applyProtection="1"/>
    <xf numFmtId="41" fontId="33" fillId="0" borderId="0" xfId="1" applyNumberFormat="1" applyFont="1" applyFill="1" applyBorder="1" applyProtection="1"/>
    <xf numFmtId="166" fontId="35" fillId="0" borderId="0" xfId="1" applyNumberFormat="1" applyFont="1" applyFill="1" applyProtection="1"/>
    <xf numFmtId="167" fontId="33" fillId="0" borderId="0" xfId="1" applyNumberFormat="1" applyFont="1" applyFill="1" applyProtection="1"/>
    <xf numFmtId="0" fontId="4" fillId="0" borderId="0" xfId="0" applyFont="1" applyFill="1" applyAlignment="1">
      <alignment horizontal="centerContinuous"/>
    </xf>
    <xf numFmtId="0" fontId="4" fillId="0" borderId="0" xfId="0" applyFont="1" applyFill="1" applyBorder="1" applyAlignment="1">
      <alignment horizontal="centerContinuous"/>
    </xf>
    <xf numFmtId="41" fontId="4" fillId="0" borderId="0" xfId="0" applyNumberFormat="1" applyFont="1" applyFill="1" applyAlignment="1">
      <alignment horizontal="centerContinuous"/>
    </xf>
    <xf numFmtId="42" fontId="4" fillId="0" borderId="0" xfId="0" applyNumberFormat="1" applyFont="1" applyFill="1" applyBorder="1" applyAlignment="1">
      <alignment horizontal="centerContinuous"/>
    </xf>
    <xf numFmtId="41" fontId="3" fillId="0" borderId="0" xfId="0" applyNumberFormat="1" applyFont="1" applyFill="1" applyBorder="1"/>
    <xf numFmtId="0" fontId="3" fillId="0" borderId="1" xfId="0" applyFont="1" applyFill="1" applyBorder="1"/>
    <xf numFmtId="37" fontId="3" fillId="0" borderId="1" xfId="0" applyNumberFormat="1" applyFont="1" applyFill="1" applyBorder="1" applyProtection="1"/>
    <xf numFmtId="41" fontId="15" fillId="0" borderId="1" xfId="1" applyFont="1" applyFill="1" applyBorder="1"/>
    <xf numFmtId="0" fontId="15" fillId="0" borderId="1" xfId="0" applyFont="1" applyFill="1" applyBorder="1"/>
    <xf numFmtId="42" fontId="3" fillId="0" borderId="0" xfId="0" applyNumberFormat="1" applyFont="1" applyFill="1" applyBorder="1"/>
    <xf numFmtId="10" fontId="35" fillId="0" borderId="0" xfId="4" applyNumberFormat="1" applyFont="1" applyFill="1" applyBorder="1"/>
    <xf numFmtId="170" fontId="3" fillId="0" borderId="0" xfId="0" applyNumberFormat="1" applyFont="1" applyFill="1" applyProtection="1"/>
    <xf numFmtId="0" fontId="3" fillId="0" borderId="0" xfId="0" applyFont="1" applyFill="1" applyBorder="1" applyAlignment="1">
      <alignment horizontal="left" indent="1"/>
    </xf>
    <xf numFmtId="10" fontId="3" fillId="0" borderId="0" xfId="0" applyNumberFormat="1" applyFont="1" applyFill="1" applyBorder="1" applyProtection="1"/>
    <xf numFmtId="42" fontId="18" fillId="0" borderId="0" xfId="0" applyNumberFormat="1" applyFont="1" applyFill="1" applyBorder="1"/>
    <xf numFmtId="10" fontId="36" fillId="0" borderId="0" xfId="4" applyNumberFormat="1" applyFont="1" applyFill="1" applyBorder="1"/>
    <xf numFmtId="41" fontId="18" fillId="0" borderId="0" xfId="1" applyFont="1" applyFill="1"/>
    <xf numFmtId="0" fontId="18" fillId="0" borderId="0" xfId="0" applyFont="1" applyFill="1"/>
    <xf numFmtId="174" fontId="35" fillId="0" borderId="0" xfId="5" applyNumberFormat="1" applyFont="1" applyProtection="1"/>
    <xf numFmtId="174" fontId="35" fillId="0" borderId="0" xfId="5" applyNumberFormat="1" applyFont="1" applyFill="1" applyProtection="1"/>
    <xf numFmtId="174" fontId="33" fillId="0" borderId="0" xfId="5" applyNumberFormat="1" applyFont="1" applyFill="1" applyProtection="1"/>
    <xf numFmtId="41" fontId="33" fillId="0" borderId="0" xfId="0" applyNumberFormat="1" applyFont="1"/>
    <xf numFmtId="0" fontId="39" fillId="0" borderId="0" xfId="0" applyFont="1"/>
    <xf numFmtId="168" fontId="3" fillId="0" borderId="0" xfId="1" applyNumberFormat="1" applyFont="1" applyFill="1" applyAlignment="1" applyProtection="1">
      <alignment horizontal="left" indent="2"/>
    </xf>
    <xf numFmtId="41" fontId="28" fillId="0" borderId="0" xfId="1" applyFont="1" applyFill="1"/>
    <xf numFmtId="174" fontId="28" fillId="0" borderId="0" xfId="5" applyNumberFormat="1" applyFont="1" applyFill="1" applyProtection="1"/>
    <xf numFmtId="174" fontId="29" fillId="0" borderId="0" xfId="5" applyNumberFormat="1" applyFont="1" applyFill="1" applyBorder="1" applyProtection="1"/>
    <xf numFmtId="174" fontId="28" fillId="0" borderId="0" xfId="5" applyNumberFormat="1" applyFont="1" applyFill="1"/>
    <xf numFmtId="174" fontId="20" fillId="0" borderId="0" xfId="5" applyNumberFormat="1" applyFont="1" applyFill="1" applyAlignment="1" applyProtection="1">
      <alignment horizontal="right"/>
    </xf>
    <xf numFmtId="174" fontId="23" fillId="0" borderId="0" xfId="5" applyNumberFormat="1" applyFont="1" applyFill="1" applyBorder="1" applyAlignment="1" applyProtection="1">
      <alignment horizontal="right"/>
    </xf>
    <xf numFmtId="174" fontId="23" fillId="0" borderId="0" xfId="5" applyNumberFormat="1" applyFont="1" applyFill="1" applyProtection="1"/>
    <xf numFmtId="174" fontId="23" fillId="0" borderId="0" xfId="5" applyNumberFormat="1" applyFont="1" applyFill="1" applyBorder="1" applyProtection="1"/>
    <xf numFmtId="174" fontId="20" fillId="0" borderId="0" xfId="5" applyNumberFormat="1" applyFont="1" applyFill="1"/>
    <xf numFmtId="175" fontId="20" fillId="0" borderId="0" xfId="2" applyNumberFormat="1" applyFont="1" applyFill="1" applyProtection="1"/>
    <xf numFmtId="41" fontId="28" fillId="0" borderId="0" xfId="1" applyFont="1" applyFill="1" applyProtection="1"/>
    <xf numFmtId="10" fontId="41" fillId="0" borderId="0" xfId="4" applyNumberFormat="1" applyFont="1" applyFill="1"/>
    <xf numFmtId="10" fontId="28" fillId="0" borderId="0" xfId="4" applyNumberFormat="1" applyFont="1" applyFill="1"/>
    <xf numFmtId="41" fontId="29" fillId="0" borderId="0" xfId="1" applyFont="1" applyFill="1"/>
    <xf numFmtId="168" fontId="29" fillId="0" borderId="0" xfId="1" applyNumberFormat="1" applyFont="1" applyFill="1" applyBorder="1" applyProtection="1"/>
    <xf numFmtId="41" fontId="29" fillId="0" borderId="0" xfId="1" applyFont="1" applyFill="1" applyBorder="1"/>
    <xf numFmtId="10" fontId="42" fillId="0" borderId="0" xfId="4" applyNumberFormat="1" applyFont="1" applyFill="1"/>
    <xf numFmtId="174" fontId="35" fillId="0" borderId="0" xfId="5" applyNumberFormat="1" applyFont="1" applyFill="1" applyBorder="1" applyProtection="1"/>
    <xf numFmtId="174" fontId="3" fillId="0" borderId="3" xfId="5" applyNumberFormat="1" applyFont="1" applyFill="1" applyBorder="1" applyProtection="1"/>
    <xf numFmtId="174" fontId="3" fillId="0" borderId="3" xfId="5" applyNumberFormat="1" applyFont="1" applyFill="1" applyBorder="1"/>
    <xf numFmtId="10" fontId="35" fillId="0" borderId="0" xfId="4" applyNumberFormat="1" applyFont="1" applyProtection="1"/>
    <xf numFmtId="10" fontId="39" fillId="0" borderId="0" xfId="4" applyNumberFormat="1" applyFont="1" applyProtection="1"/>
    <xf numFmtId="37" fontId="35" fillId="0" borderId="0" xfId="0" applyNumberFormat="1" applyFont="1" applyBorder="1" applyProtection="1"/>
    <xf numFmtId="37" fontId="35" fillId="0" borderId="0" xfId="0" applyNumberFormat="1" applyFont="1" applyFill="1" applyBorder="1" applyProtection="1"/>
    <xf numFmtId="10" fontId="35" fillId="0" borderId="0" xfId="4" applyNumberFormat="1" applyFont="1" applyFill="1" applyProtection="1"/>
    <xf numFmtId="10" fontId="40" fillId="0" borderId="0" xfId="4" applyNumberFormat="1" applyFont="1" applyProtection="1"/>
    <xf numFmtId="41" fontId="29" fillId="0" borderId="0" xfId="1" applyFont="1" applyFill="1" applyBorder="1" applyAlignment="1" applyProtection="1">
      <alignment vertical="center"/>
    </xf>
    <xf numFmtId="41" fontId="38" fillId="0" borderId="0" xfId="1" applyFont="1" applyFill="1" applyProtection="1"/>
    <xf numFmtId="168" fontId="35" fillId="0" borderId="0" xfId="1" applyNumberFormat="1" applyFont="1" applyFill="1" applyBorder="1" applyProtection="1"/>
    <xf numFmtId="168" fontId="4" fillId="0" borderId="0" xfId="0" applyNumberFormat="1" applyFont="1" applyFill="1" applyAlignment="1">
      <alignment horizontal="centerContinuous"/>
    </xf>
    <xf numFmtId="168" fontId="3" fillId="0" borderId="0" xfId="0" applyNumberFormat="1" applyFont="1" applyFill="1" applyAlignment="1">
      <alignment horizontal="centerContinuous"/>
    </xf>
    <xf numFmtId="168" fontId="3" fillId="0" borderId="1" xfId="1" applyNumberFormat="1" applyFont="1" applyFill="1" applyBorder="1" applyAlignment="1">
      <alignment horizontal="center"/>
    </xf>
    <xf numFmtId="168" fontId="3" fillId="0" borderId="0" xfId="1" applyNumberFormat="1" applyFont="1" applyFill="1" applyAlignment="1">
      <alignment horizontal="center"/>
    </xf>
    <xf numFmtId="168" fontId="3" fillId="0" borderId="0" xfId="1" quotePrefix="1" applyNumberFormat="1" applyFont="1" applyFill="1" applyAlignment="1">
      <alignment horizontal="center"/>
    </xf>
    <xf numFmtId="168" fontId="9" fillId="0" borderId="0" xfId="1" applyNumberFormat="1" applyFont="1" applyFill="1" applyBorder="1" applyAlignment="1">
      <alignment horizontal="center"/>
    </xf>
    <xf numFmtId="168" fontId="36" fillId="0" borderId="0" xfId="1" applyNumberFormat="1" applyFont="1" applyFill="1" applyBorder="1" applyProtection="1"/>
    <xf numFmtId="168" fontId="18" fillId="0" borderId="0" xfId="1" applyNumberFormat="1" applyFont="1" applyFill="1" applyBorder="1" applyProtection="1"/>
    <xf numFmtId="10" fontId="3" fillId="0" borderId="0" xfId="1" applyNumberFormat="1" applyFont="1" applyFill="1" applyProtection="1"/>
    <xf numFmtId="174" fontId="9" fillId="0" borderId="0" xfId="5" applyNumberFormat="1" applyFont="1" applyFill="1" applyAlignment="1" applyProtection="1">
      <alignment vertical="center"/>
    </xf>
    <xf numFmtId="10" fontId="33" fillId="0" borderId="0" xfId="4" applyNumberFormat="1" applyFont="1" applyFill="1" applyAlignment="1">
      <alignment vertical="center"/>
    </xf>
    <xf numFmtId="166" fontId="25" fillId="0" borderId="0" xfId="5" applyNumberFormat="1" applyFont="1" applyProtection="1"/>
    <xf numFmtId="167" fontId="20" fillId="0" borderId="0" xfId="0" applyNumberFormat="1" applyFont="1" applyProtection="1"/>
    <xf numFmtId="167" fontId="23" fillId="0" borderId="0" xfId="5" applyNumberFormat="1" applyFont="1" applyProtection="1"/>
    <xf numFmtId="166" fontId="20" fillId="0" borderId="0" xfId="2" applyNumberFormat="1" applyFont="1" applyProtection="1"/>
    <xf numFmtId="0" fontId="4" fillId="0" borderId="0" xfId="0" applyFont="1" applyFill="1" applyAlignment="1">
      <alignment horizontal="center"/>
    </xf>
    <xf numFmtId="168" fontId="3" fillId="0" borderId="0" xfId="1" applyNumberFormat="1" applyFont="1" applyFill="1" applyAlignment="1">
      <alignment vertical="center"/>
    </xf>
    <xf numFmtId="167" fontId="9" fillId="0" borderId="0" xfId="1" applyNumberFormat="1" applyFont="1" applyFill="1" applyAlignment="1">
      <alignment vertical="center"/>
    </xf>
    <xf numFmtId="168" fontId="35" fillId="0" borderId="0" xfId="1" applyNumberFormat="1" applyFont="1" applyFill="1" applyAlignment="1">
      <alignment vertical="center"/>
    </xf>
    <xf numFmtId="41" fontId="9" fillId="0" borderId="0" xfId="1" applyFont="1" applyFill="1" applyAlignment="1">
      <alignment vertical="center"/>
    </xf>
    <xf numFmtId="174" fontId="3" fillId="0" borderId="0" xfId="5" applyNumberFormat="1" applyFont="1" applyFill="1" applyAlignment="1">
      <alignment vertical="center"/>
    </xf>
    <xf numFmtId="167" fontId="3" fillId="0" borderId="0" xfId="1" applyNumberFormat="1" applyFont="1" applyFill="1" applyAlignment="1">
      <alignment vertical="center"/>
    </xf>
    <xf numFmtId="174" fontId="3" fillId="0" borderId="0" xfId="5" applyNumberFormat="1" applyFont="1" applyFill="1" applyBorder="1" applyAlignment="1" applyProtection="1">
      <alignment vertical="center"/>
    </xf>
    <xf numFmtId="168" fontId="3" fillId="0" borderId="0" xfId="1" applyNumberFormat="1" applyFont="1" applyFill="1" applyBorder="1" applyAlignment="1" applyProtection="1">
      <alignment vertical="center"/>
    </xf>
    <xf numFmtId="0" fontId="3" fillId="0" borderId="0" xfId="0" applyFont="1" applyFill="1" applyAlignment="1">
      <alignment horizontal="left" indent="5"/>
    </xf>
    <xf numFmtId="10" fontId="8" fillId="0" borderId="0" xfId="4" applyNumberFormat="1" applyFont="1"/>
    <xf numFmtId="167" fontId="23" fillId="0" borderId="0" xfId="1" applyNumberFormat="1" applyFont="1" applyFill="1" applyProtection="1"/>
    <xf numFmtId="10" fontId="29" fillId="0" borderId="0" xfId="4" applyNumberFormat="1" applyFont="1" applyFill="1"/>
    <xf numFmtId="37" fontId="31" fillId="0" borderId="0" xfId="0" applyNumberFormat="1" applyFont="1" applyAlignment="1" applyProtection="1">
      <alignment vertical="center"/>
    </xf>
    <xf numFmtId="167" fontId="11" fillId="0" borderId="0" xfId="0" applyNumberFormat="1" applyFont="1" applyProtection="1"/>
    <xf numFmtId="42" fontId="3" fillId="0" borderId="0" xfId="2" applyNumberFormat="1" applyFont="1" applyProtection="1"/>
    <xf numFmtId="167" fontId="29" fillId="0" borderId="0" xfId="1" applyNumberFormat="1" applyFont="1" applyFill="1" applyBorder="1" applyAlignment="1" applyProtection="1">
      <alignment vertical="center"/>
    </xf>
    <xf numFmtId="167" fontId="29" fillId="0" borderId="0" xfId="1" applyNumberFormat="1" applyFont="1" applyFill="1" applyBorder="1" applyProtection="1"/>
    <xf numFmtId="167" fontId="28" fillId="0" borderId="0" xfId="1" applyNumberFormat="1" applyFont="1" applyFill="1" applyBorder="1" applyProtection="1"/>
    <xf numFmtId="41" fontId="10" fillId="0" borderId="0" xfId="0" applyNumberFormat="1" applyFont="1" applyBorder="1"/>
    <xf numFmtId="37" fontId="3" fillId="0" borderId="0" xfId="3" applyFont="1" applyAlignment="1">
      <alignment wrapText="1"/>
    </xf>
    <xf numFmtId="37" fontId="6" fillId="0" borderId="0" xfId="3" applyFont="1" applyAlignment="1">
      <alignment horizontal="center"/>
    </xf>
    <xf numFmtId="37" fontId="4" fillId="0" borderId="0" xfId="3"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4" fillId="0" borderId="0" xfId="0" applyFont="1" applyAlignment="1">
      <alignment horizontal="center"/>
    </xf>
    <xf numFmtId="0" fontId="22" fillId="0" borderId="0" xfId="0" applyFont="1" applyAlignment="1">
      <alignment horizontal="center"/>
    </xf>
    <xf numFmtId="165" fontId="22" fillId="0" borderId="0" xfId="0" applyNumberFormat="1" applyFont="1" applyAlignment="1">
      <alignment horizontal="center"/>
    </xf>
    <xf numFmtId="0" fontId="4" fillId="0" borderId="0" xfId="0" applyFont="1" applyFill="1" applyAlignment="1">
      <alignment horizontal="center"/>
    </xf>
    <xf numFmtId="41" fontId="3" fillId="0" borderId="1" xfId="1" applyFont="1" applyFill="1" applyBorder="1" applyAlignment="1">
      <alignment horizontal="center"/>
    </xf>
    <xf numFmtId="41" fontId="3" fillId="0" borderId="2" xfId="1" applyFont="1" applyFill="1" applyBorder="1" applyAlignment="1" applyProtection="1">
      <alignment horizontal="center"/>
    </xf>
    <xf numFmtId="37" fontId="3" fillId="0" borderId="1" xfId="0" applyNumberFormat="1" applyFont="1" applyBorder="1" applyAlignment="1" applyProtection="1">
      <alignment horizontal="center"/>
    </xf>
    <xf numFmtId="41" fontId="3" fillId="0" borderId="1" xfId="1" applyFont="1" applyBorder="1" applyAlignment="1" applyProtection="1">
      <alignment horizontal="center"/>
    </xf>
    <xf numFmtId="0" fontId="3" fillId="0" borderId="0" xfId="0" applyFont="1" applyAlignment="1">
      <alignment horizontal="center"/>
    </xf>
    <xf numFmtId="0" fontId="4" fillId="0" borderId="0" xfId="0" applyFont="1" applyAlignment="1">
      <alignment horizontal="center" vertical="center"/>
    </xf>
    <xf numFmtId="41" fontId="3" fillId="0" borderId="1" xfId="1" applyFont="1" applyFill="1" applyBorder="1" applyAlignment="1" applyProtection="1">
      <alignment horizontal="center"/>
    </xf>
    <xf numFmtId="0" fontId="22" fillId="0" borderId="0" xfId="0" applyFont="1" applyFill="1" applyAlignment="1">
      <alignment horizontal="center"/>
    </xf>
    <xf numFmtId="37" fontId="3" fillId="0" borderId="9" xfId="0" applyNumberFormat="1" applyFont="1" applyBorder="1" applyAlignment="1" applyProtection="1">
      <alignment horizontal="center"/>
    </xf>
    <xf numFmtId="0" fontId="3" fillId="0" borderId="1" xfId="0" applyFont="1" applyBorder="1" applyAlignment="1">
      <alignment horizontal="center"/>
    </xf>
    <xf numFmtId="0" fontId="3" fillId="0" borderId="9" xfId="0" applyFont="1" applyBorder="1" applyAlignment="1">
      <alignment horizontal="center"/>
    </xf>
    <xf numFmtId="41" fontId="3" fillId="0" borderId="1" xfId="1" applyFont="1" applyBorder="1" applyAlignment="1">
      <alignment horizontal="center"/>
    </xf>
    <xf numFmtId="41" fontId="3" fillId="0" borderId="9" xfId="1" applyFont="1" applyBorder="1" applyAlignment="1">
      <alignment horizontal="center"/>
    </xf>
    <xf numFmtId="0" fontId="15" fillId="0" borderId="2" xfId="0" applyFont="1" applyBorder="1" applyAlignment="1">
      <alignment horizontal="center"/>
    </xf>
  </cellXfs>
  <cellStyles count="6">
    <cellStyle name="Comma" xfId="5" builtinId="3"/>
    <cellStyle name="Comma [0]" xfId="1" builtinId="6"/>
    <cellStyle name="Currency" xfId="2" builtinId="4"/>
    <cellStyle name="Normal" xfId="0" builtinId="0"/>
    <cellStyle name="Normal_BUDGET06" xfId="3"/>
    <cellStyle name="Percent" xfId="4" builtinId="5"/>
  </cellStyles>
  <dxfs count="0"/>
  <tableStyles count="0" defaultTableStyle="TableStyleMedium9" defaultPivotStyle="PivotStyleLight16"/>
  <colors>
    <mruColors>
      <color rgb="FF0000FF"/>
      <color rgb="FFF50B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Mso\116049\Budget\2014\14BUDGET%20rec'd%20from%20Toria%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oria/Downloads/2014/14BUDGET%20rec'd%20from%20Toria%20revis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so/103364/2009/09CPBUDGE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so/116049/2008/Budget/08BudgetDraftpb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Mso\116049\Budget\2021\Budget%20Ques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 Table of contents"/>
      <sheetName val=" Budget message"/>
      <sheetName val="Capital Outlay Budget Request"/>
      <sheetName val="General Fund"/>
      <sheetName val="Sales Tax Funds"/>
      <sheetName val="Debt Service Funds"/>
      <sheetName val="capital projects fund"/>
      <sheetName val="Utility Fund"/>
      <sheetName val="Utility Fund - analysis by dept"/>
      <sheetName val="Estimating Schedules-Divider "/>
      <sheetName val="Estimating Schedule - GF"/>
      <sheetName val="Estimating Schedule - SRF"/>
      <sheetName val="Estimating Schedule - DSF"/>
      <sheetName val="Estimating Schedule - UF"/>
      <sheetName val="Sheet1"/>
    </sheetNames>
    <sheetDataSet>
      <sheetData sheetId="0">
        <row r="16">
          <cell r="A16" t="str">
            <v>TOWN OF PORT BARRE, LOUISIANA</v>
          </cell>
        </row>
        <row r="20">
          <cell r="A20" t="str">
            <v>AMENDED  BUDGET</v>
          </cell>
        </row>
        <row r="22">
          <cell r="A22" t="str">
            <v>YEAR ENDING SEPTEMBER 30, 2013</v>
          </cell>
        </row>
        <row r="25">
          <cell r="A25" t="str">
            <v>AND THE</v>
          </cell>
        </row>
        <row r="27">
          <cell r="A27" t="str">
            <v>ORIGINAL  BUDGET</v>
          </cell>
        </row>
        <row r="29">
          <cell r="A29" t="str">
            <v>YEAR ENDING SEPTEMBER 30, 2014</v>
          </cell>
        </row>
      </sheetData>
      <sheetData sheetId="1">
        <row r="2">
          <cell r="A2" t="str">
            <v>BUDGET</v>
          </cell>
        </row>
        <row r="3">
          <cell r="A3" t="str">
            <v>Year Ending September 30, 2014</v>
          </cell>
        </row>
        <row r="6">
          <cell r="A6" t="str">
            <v>TABLE OF CONTENTS</v>
          </cell>
        </row>
        <row r="8">
          <cell r="H8" t="str">
            <v>Page</v>
          </cell>
        </row>
        <row r="10">
          <cell r="C10" t="str">
            <v>Budget message</v>
          </cell>
          <cell r="H10" t="str">
            <v>-</v>
          </cell>
        </row>
        <row r="12">
          <cell r="C12" t="str">
            <v>Consolidated budget</v>
          </cell>
          <cell r="H12" t="str">
            <v>1</v>
          </cell>
        </row>
        <row r="14">
          <cell r="C14" t="str">
            <v>Capital outlay budget request</v>
          </cell>
          <cell r="H14" t="str">
            <v>2</v>
          </cell>
        </row>
        <row r="16">
          <cell r="C16" t="str">
            <v>General Fund -</v>
          </cell>
        </row>
        <row r="17">
          <cell r="C17" t="str">
            <v xml:space="preserve">    Budget</v>
          </cell>
          <cell r="H17" t="str">
            <v>3</v>
          </cell>
        </row>
        <row r="18">
          <cell r="C18" t="str">
            <v xml:space="preserve">    Revenue summary</v>
          </cell>
          <cell r="H18" t="str">
            <v>4</v>
          </cell>
        </row>
        <row r="19">
          <cell r="C19" t="str">
            <v xml:space="preserve">    Summary of expenditures </v>
          </cell>
          <cell r="H19" t="str">
            <v>5 - 6</v>
          </cell>
        </row>
        <row r="21">
          <cell r="C21" t="str">
            <v>Special revenue funds-</v>
          </cell>
        </row>
        <row r="22">
          <cell r="C22" t="str">
            <v xml:space="preserve">  1966 and 1996 Sales Tax Funds -</v>
          </cell>
        </row>
        <row r="23">
          <cell r="C23" t="str">
            <v xml:space="preserve">    Combining statement of revenues and expenditures</v>
          </cell>
          <cell r="H23" t="str">
            <v>7</v>
          </cell>
        </row>
        <row r="25">
          <cell r="C25" t="str">
            <v>Debt service fund -</v>
          </cell>
        </row>
        <row r="26">
          <cell r="C26" t="str">
            <v xml:space="preserve">  Combining statement of revenues and expenditures</v>
          </cell>
          <cell r="H26" t="str">
            <v>8</v>
          </cell>
        </row>
        <row r="28">
          <cell r="C28" t="str">
            <v>Capital projects fund</v>
          </cell>
          <cell r="H28">
            <v>9</v>
          </cell>
        </row>
        <row r="30">
          <cell r="C30" t="str">
            <v>Utility Fund (combined utility -</v>
          </cell>
        </row>
        <row r="31">
          <cell r="C31" t="str">
            <v xml:space="preserve">  gas, water, and sewer) -</v>
          </cell>
        </row>
        <row r="32">
          <cell r="C32" t="str">
            <v xml:space="preserve">    Budget</v>
          </cell>
          <cell r="H32">
            <v>10</v>
          </cell>
        </row>
        <row r="33">
          <cell r="C33" t="str">
            <v xml:space="preserve">    Departmental utility fund analysis</v>
          </cell>
          <cell r="H33">
            <v>11</v>
          </cell>
        </row>
        <row r="35">
          <cell r="C35" t="str">
            <v xml:space="preserve">Estimating Schedules - </v>
          </cell>
        </row>
        <row r="36">
          <cell r="C36" t="str">
            <v xml:space="preserve">    General Fund</v>
          </cell>
          <cell r="H36" t="str">
            <v>12 - 15</v>
          </cell>
        </row>
        <row r="37">
          <cell r="C37" t="str">
            <v xml:space="preserve">    Special revenue funds</v>
          </cell>
          <cell r="H37" t="str">
            <v>16</v>
          </cell>
        </row>
        <row r="38">
          <cell r="C38" t="str">
            <v xml:space="preserve">    Debt service fund</v>
          </cell>
          <cell r="H38" t="str">
            <v>17</v>
          </cell>
        </row>
        <row r="39">
          <cell r="C39" t="str">
            <v xml:space="preserve">    Utility Fund</v>
          </cell>
          <cell r="H39" t="str">
            <v>18</v>
          </cell>
        </row>
        <row r="170">
          <cell r="B170" t="str">
            <v>|::</v>
          </cell>
        </row>
      </sheetData>
      <sheetData sheetId="2">
        <row r="2">
          <cell r="B2" t="str">
            <v>BUDGET MESSAGE</v>
          </cell>
        </row>
      </sheetData>
      <sheetData sheetId="3">
        <row r="2">
          <cell r="A2" t="str">
            <v>CAPITAL OUTLAY BUDGET REQUEST</v>
          </cell>
        </row>
      </sheetData>
      <sheetData sheetId="4">
        <row r="2">
          <cell r="A2" t="str">
            <v>TOWN OF PORT BARRE, LOUISIANA</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 Table of contents"/>
      <sheetName val=" Budget message"/>
      <sheetName val="Capital Outlay Budget Request"/>
      <sheetName val="General Fund"/>
      <sheetName val="Sales Tax Funds"/>
      <sheetName val="Debt Service Funds"/>
      <sheetName val="capital projects fund"/>
      <sheetName val="Utility Fund"/>
      <sheetName val="Utility Fund - analysis by dept"/>
      <sheetName val="Estimating Schedules-Divider "/>
      <sheetName val="Estimating Schedule - GF"/>
      <sheetName val="Estimating Schedule - SRF"/>
      <sheetName val="Estimating Schedule - DSF"/>
      <sheetName val="Estimating Schedule - UF"/>
      <sheetName val="Sheet1"/>
    </sheetNames>
    <sheetDataSet>
      <sheetData sheetId="0">
        <row r="16">
          <cell r="A16" t="str">
            <v>TOWN OF PORT BARRE, LOUISIANA</v>
          </cell>
        </row>
        <row r="20">
          <cell r="A20" t="str">
            <v>AMENDED  BUDGET</v>
          </cell>
        </row>
        <row r="22">
          <cell r="A22" t="str">
            <v>YEAR ENDING SEPTEMBER 30, 2013</v>
          </cell>
        </row>
        <row r="25">
          <cell r="A25" t="str">
            <v>AND THE</v>
          </cell>
        </row>
        <row r="27">
          <cell r="A27" t="str">
            <v>ORIGINAL  BUDGET</v>
          </cell>
        </row>
        <row r="29">
          <cell r="A29" t="str">
            <v>YEAR ENDING SEPTEMBER 30, 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blication "/>
      <sheetName val="Adoption Documents"/>
      <sheetName val="Adoption resolution-line item"/>
      <sheetName val="Budget Ordinances"/>
      <sheetName val="Title Page"/>
      <sheetName val="Table of Contents "/>
      <sheetName val="Budget Message"/>
      <sheetName val="Consolidated Budget"/>
      <sheetName val="Capital Outlay Budget Request"/>
      <sheetName val="General Fund"/>
      <sheetName val="Sales Tax Fund"/>
      <sheetName val="Debt Service Funds"/>
      <sheetName val="capital projects fund"/>
      <sheetName val="Utility Fund"/>
      <sheetName val="Utility Fund - analysis by dept"/>
      <sheetName val="Salaries"/>
      <sheetName val="Transfers from(to)"/>
      <sheetName val="utility rate compliance"/>
      <sheetName val="Utility-per customer"/>
    </sheetNames>
    <sheetDataSet>
      <sheetData sheetId="0">
        <row r="2">
          <cell r="C2" t="str">
            <v xml:space="preserve">                             NOTICE 1</v>
          </cell>
        </row>
        <row r="7">
          <cell r="C7" t="str">
            <v xml:space="preserve">     In accordance with Act 186 of 1984, the public is hereby</v>
          </cell>
        </row>
        <row r="8">
          <cell r="C8" t="str">
            <v>notified that the proposed budget of the Town of Church Point for the</v>
          </cell>
        </row>
        <row r="9">
          <cell r="C9" t="str">
            <v>fiscal year ending September 30, 2009 is available for inspection</v>
          </cell>
        </row>
        <row r="10">
          <cell r="C10" t="str">
            <v>at Town Hall, Church Point, Louisiana between the hours of 8:00 a.m.</v>
          </cell>
        </row>
        <row r="11">
          <cell r="C11" t="str">
            <v>and 5:00 p.m., Monday thru Friday.</v>
          </cell>
        </row>
        <row r="12">
          <cell r="C12" t="str">
            <v xml:space="preserve">     Also, the public is hereby notified that a public hearing will</v>
          </cell>
        </row>
        <row r="13">
          <cell r="C13" t="str">
            <v>be held on September 22, 2008 at 6:00 p.m. at the Town Hall,</v>
          </cell>
        </row>
        <row r="14">
          <cell r="C14" t="str">
            <v>Church Point, Louisiana.  The purpose of this public hearing is to</v>
          </cell>
        </row>
        <row r="15">
          <cell r="C15" t="str">
            <v>allow citizens to provide comments and opinions on the proposed</v>
          </cell>
        </row>
        <row r="16">
          <cell r="C16" t="str">
            <v>budget of the Town of Church Point, Louisiana for the fiscal year</v>
          </cell>
        </row>
        <row r="17">
          <cell r="C17" t="str">
            <v>beginning October 1, 2008 and ending September 30, 2009.</v>
          </cell>
        </row>
        <row r="18">
          <cell r="C18" t="str">
            <v xml:space="preserve">     Additionally proposed amendments to the budget of the Town of</v>
          </cell>
        </row>
        <row r="19">
          <cell r="C19" t="str">
            <v>Church Point for the fiscal year ending September 30, 2008 may be</v>
          </cell>
        </row>
        <row r="20">
          <cell r="C20" t="str">
            <v>considered at the public hearing to be held on September 22, 2008</v>
          </cell>
        </row>
        <row r="21">
          <cell r="C21" t="str">
            <v>at 6:00 p.m. at the Town Hall, Church Point, Louisiana.  This</v>
          </cell>
        </row>
        <row r="22">
          <cell r="C22" t="str">
            <v>proposed amended budget is shown as the estimated 2008 amounts on</v>
          </cell>
        </row>
        <row r="23">
          <cell r="C23" t="str">
            <v>the 9-30-2009 budget documents.</v>
          </cell>
        </row>
        <row r="25">
          <cell r="C25" t="str">
            <v xml:space="preserve">     The following is a summary of the Town of Church Point's amended</v>
          </cell>
        </row>
        <row r="26">
          <cell r="C26" t="str">
            <v xml:space="preserve">and proposed consolidated budgets for the years ending September 30, </v>
          </cell>
        </row>
        <row r="27">
          <cell r="C27" t="str">
            <v>2008 and 2009, respectively:</v>
          </cell>
        </row>
        <row r="29">
          <cell r="F29">
            <v>2008</v>
          </cell>
          <cell r="H29">
            <v>2009</v>
          </cell>
        </row>
        <row r="30">
          <cell r="F30" t="str">
            <v>Amended</v>
          </cell>
          <cell r="H30" t="str">
            <v>Proposed</v>
          </cell>
        </row>
        <row r="31">
          <cell r="B31" t="str">
            <v>Revenues:</v>
          </cell>
        </row>
        <row r="32">
          <cell r="B32" t="str">
            <v xml:space="preserve">  Taxes</v>
          </cell>
          <cell r="F32">
            <v>936912</v>
          </cell>
          <cell r="H32">
            <v>938000</v>
          </cell>
        </row>
        <row r="33">
          <cell r="B33" t="str">
            <v xml:space="preserve">  Licenses and permits</v>
          </cell>
          <cell r="F33">
            <v>194200</v>
          </cell>
          <cell r="H33">
            <v>193870</v>
          </cell>
        </row>
        <row r="34">
          <cell r="B34" t="str">
            <v xml:space="preserve">  Intergovernmental</v>
          </cell>
          <cell r="F34">
            <v>583063</v>
          </cell>
          <cell r="H34">
            <v>775300</v>
          </cell>
        </row>
        <row r="35">
          <cell r="B35" t="str">
            <v xml:space="preserve">  Fines and forfeits</v>
          </cell>
          <cell r="F35">
            <v>95500</v>
          </cell>
          <cell r="H35">
            <v>154800</v>
          </cell>
        </row>
        <row r="36">
          <cell r="B36" t="str">
            <v xml:space="preserve">  Utility Charges and service</v>
          </cell>
          <cell r="F36">
            <v>976030</v>
          </cell>
          <cell r="H36">
            <v>1065500</v>
          </cell>
        </row>
        <row r="37">
          <cell r="B37" t="str">
            <v xml:space="preserve">  Continuing education fund</v>
          </cell>
          <cell r="F37">
            <v>1550</v>
          </cell>
          <cell r="H37">
            <v>3500</v>
          </cell>
        </row>
        <row r="38">
          <cell r="B38" t="str">
            <v xml:space="preserve">  Interest</v>
          </cell>
          <cell r="F38">
            <v>7606</v>
          </cell>
          <cell r="H38">
            <v>5450</v>
          </cell>
        </row>
        <row r="39">
          <cell r="B39" t="str">
            <v xml:space="preserve">  Miscellaneous</v>
          </cell>
          <cell r="F39">
            <v>82921</v>
          </cell>
          <cell r="H39">
            <v>151050</v>
          </cell>
        </row>
        <row r="40">
          <cell r="B40" t="str">
            <v xml:space="preserve">     Total revenues</v>
          </cell>
          <cell r="F40">
            <v>2877782</v>
          </cell>
          <cell r="H40">
            <v>3287470</v>
          </cell>
        </row>
        <row r="42">
          <cell r="B42" t="str">
            <v>Expenditures:</v>
          </cell>
        </row>
        <row r="43">
          <cell r="B43" t="str">
            <v xml:space="preserve">  General government</v>
          </cell>
          <cell r="F43">
            <v>407876</v>
          </cell>
          <cell r="H43">
            <v>422499</v>
          </cell>
        </row>
        <row r="44">
          <cell r="B44" t="str">
            <v xml:space="preserve">  Public safety - police</v>
          </cell>
          <cell r="F44">
            <v>584680</v>
          </cell>
          <cell r="H44">
            <v>601817</v>
          </cell>
        </row>
        <row r="45">
          <cell r="B45" t="str">
            <v xml:space="preserve">                         - fire</v>
          </cell>
          <cell r="F45">
            <v>0</v>
          </cell>
          <cell r="H45">
            <v>0</v>
          </cell>
        </row>
        <row r="46">
          <cell r="B46" t="str">
            <v xml:space="preserve">  Highways and streets</v>
          </cell>
          <cell r="F46">
            <v>469950</v>
          </cell>
          <cell r="H46">
            <v>381200</v>
          </cell>
        </row>
        <row r="47">
          <cell r="B47" t="str">
            <v xml:space="preserve">  Culture and recreation</v>
          </cell>
          <cell r="F47">
            <v>56423</v>
          </cell>
          <cell r="H47">
            <v>43625</v>
          </cell>
        </row>
        <row r="48">
          <cell r="B48" t="str">
            <v xml:space="preserve">  Utility Fund expenses</v>
          </cell>
          <cell r="F48">
            <v>895320</v>
          </cell>
          <cell r="H48">
            <v>905506</v>
          </cell>
        </row>
        <row r="49">
          <cell r="B49" t="str">
            <v xml:space="preserve">  Debt service</v>
          </cell>
          <cell r="F49">
            <v>116859</v>
          </cell>
          <cell r="H49">
            <v>106717</v>
          </cell>
        </row>
        <row r="50">
          <cell r="B50" t="str">
            <v xml:space="preserve">  Capital outlay </v>
          </cell>
          <cell r="F50">
            <v>596981</v>
          </cell>
          <cell r="H50">
            <v>739205</v>
          </cell>
        </row>
        <row r="51">
          <cell r="B51" t="str">
            <v xml:space="preserve">      Total expenditures</v>
          </cell>
          <cell r="F51">
            <v>3128089</v>
          </cell>
          <cell r="H51">
            <v>3200569</v>
          </cell>
        </row>
        <row r="53">
          <cell r="B53" t="str">
            <v xml:space="preserve">      Operating income (loss)</v>
          </cell>
          <cell r="F53">
            <v>-250307</v>
          </cell>
          <cell r="H53">
            <v>86901</v>
          </cell>
        </row>
        <row r="58">
          <cell r="F58">
            <v>2008</v>
          </cell>
          <cell r="H58">
            <v>2009</v>
          </cell>
        </row>
        <row r="59">
          <cell r="F59" t="str">
            <v>Amended</v>
          </cell>
          <cell r="H59" t="str">
            <v>Proposed</v>
          </cell>
        </row>
        <row r="60">
          <cell r="B60" t="str">
            <v>Nonoperating revenues (expenses):</v>
          </cell>
        </row>
        <row r="61">
          <cell r="B61" t="str">
            <v xml:space="preserve">  Interest income</v>
          </cell>
          <cell r="F61">
            <v>27500</v>
          </cell>
          <cell r="H61">
            <v>27500</v>
          </cell>
        </row>
        <row r="62">
          <cell r="B62" t="str">
            <v xml:space="preserve">  Administrative expenses</v>
          </cell>
          <cell r="F62">
            <v>-8950</v>
          </cell>
          <cell r="H62">
            <v>-8350</v>
          </cell>
        </row>
        <row r="63">
          <cell r="B63" t="str">
            <v xml:space="preserve">  Interest and fiscal charges</v>
          </cell>
          <cell r="F63">
            <v>-108168</v>
          </cell>
          <cell r="H63">
            <v>-101922</v>
          </cell>
        </row>
        <row r="64">
          <cell r="B64" t="str">
            <v xml:space="preserve">      Total nonoperting expenses </v>
          </cell>
          <cell r="F64">
            <v>-89618</v>
          </cell>
          <cell r="H64">
            <v>-82772</v>
          </cell>
        </row>
        <row r="66">
          <cell r="B66" t="str">
            <v xml:space="preserve">      Income(Loss) before operating transfers</v>
          </cell>
          <cell r="F66">
            <v>-339925</v>
          </cell>
          <cell r="H66">
            <v>4129</v>
          </cell>
        </row>
        <row r="68">
          <cell r="B68" t="str">
            <v>Other financing sources (uses):</v>
          </cell>
        </row>
        <row r="69">
          <cell r="B69" t="str">
            <v xml:space="preserve">  Proceeds from issuance of debt</v>
          </cell>
          <cell r="F69">
            <v>0</v>
          </cell>
          <cell r="H69">
            <v>23000</v>
          </cell>
        </row>
        <row r="70">
          <cell r="B70" t="str">
            <v xml:space="preserve">  Operating transfers in</v>
          </cell>
          <cell r="F70">
            <v>485500</v>
          </cell>
          <cell r="H70">
            <v>316000</v>
          </cell>
        </row>
        <row r="71">
          <cell r="B71" t="str">
            <v xml:space="preserve">  Operating transfers out</v>
          </cell>
          <cell r="F71">
            <v>-485500</v>
          </cell>
          <cell r="H71">
            <v>-316000</v>
          </cell>
        </row>
        <row r="72">
          <cell r="B72" t="str">
            <v xml:space="preserve">      Total other financing sources (uses)</v>
          </cell>
          <cell r="F72">
            <v>0</v>
          </cell>
          <cell r="H72">
            <v>23000</v>
          </cell>
        </row>
        <row r="74">
          <cell r="B74" t="str">
            <v xml:space="preserve">      Excess(Deficiency) of revenues and</v>
          </cell>
        </row>
        <row r="75">
          <cell r="B75" t="str">
            <v xml:space="preserve">        other sources over expenditures</v>
          </cell>
        </row>
        <row r="76">
          <cell r="B76" t="str">
            <v xml:space="preserve">        and other uses</v>
          </cell>
          <cell r="F76">
            <v>-339925</v>
          </cell>
          <cell r="H76">
            <v>27129</v>
          </cell>
        </row>
        <row r="78">
          <cell r="B78" t="str">
            <v>Capital contributions</v>
          </cell>
          <cell r="F78">
            <v>0</v>
          </cell>
          <cell r="H78">
            <v>0</v>
          </cell>
        </row>
        <row r="80">
          <cell r="A80" t="str">
            <v xml:space="preserve">      Excess (deficiency) of revenues </v>
          </cell>
        </row>
        <row r="81">
          <cell r="A81" t="str">
            <v xml:space="preserve">        and other sources over expenditures &amp;</v>
          </cell>
        </row>
        <row r="82">
          <cell r="A82" t="str">
            <v xml:space="preserve">        other uses after CAPITAL CONTRIBUTIONS</v>
          </cell>
          <cell r="F82">
            <v>-339925</v>
          </cell>
          <cell r="H82">
            <v>27129</v>
          </cell>
        </row>
        <row r="84">
          <cell r="B84" t="str">
            <v>Fund Equity, beginning</v>
          </cell>
          <cell r="F84">
            <v>5023901.3600000003</v>
          </cell>
          <cell r="H84">
            <v>4683976.3600000003</v>
          </cell>
        </row>
        <row r="86">
          <cell r="B86" t="str">
            <v>Fund Equity, ending</v>
          </cell>
          <cell r="F86">
            <v>4683976.3600000003</v>
          </cell>
          <cell r="H86">
            <v>4711105.3600000003</v>
          </cell>
        </row>
        <row r="90">
          <cell r="B90" t="str">
            <v xml:space="preserve">    A Special Meeting will follow the public hearing in order to consider adoption of resolutions to</v>
          </cell>
        </row>
        <row r="91">
          <cell r="B91" t="str">
            <v>amend the 9/30/08 budget and adopt the year ended 9/30/2009 operating budget.</v>
          </cell>
        </row>
        <row r="95">
          <cell r="B95" t="str">
            <v xml:space="preserve">                                        _________________________</v>
          </cell>
          <cell r="D95" t="str">
            <v>|s| Roger Boudreaux</v>
          </cell>
        </row>
        <row r="96">
          <cell r="B96" t="str">
            <v xml:space="preserve"> </v>
          </cell>
          <cell r="D96" t="str">
            <v xml:space="preserve">  Roger Boudreaux</v>
          </cell>
        </row>
        <row r="97">
          <cell r="B97" t="str">
            <v xml:space="preserve">                                                    Mayor</v>
          </cell>
        </row>
        <row r="102">
          <cell r="B102" t="str">
            <v xml:space="preserve">                                        _________________________</v>
          </cell>
          <cell r="D102" t="str">
            <v>|s|Charles Labbe</v>
          </cell>
        </row>
        <row r="103">
          <cell r="B103" t="str">
            <v xml:space="preserve">                                       </v>
          </cell>
          <cell r="D103" t="str">
            <v>Charles Labbe</v>
          </cell>
        </row>
        <row r="104">
          <cell r="D104" t="str">
            <v>Town Clerk</v>
          </cell>
        </row>
        <row r="110">
          <cell r="B110" t="str">
            <v xml:space="preserve">  Instructions:</v>
          </cell>
        </row>
        <row r="111">
          <cell r="B111" t="str">
            <v xml:space="preserve">    - Publish at least 10 days prior to hearing.</v>
          </cell>
        </row>
        <row r="248">
          <cell r="B248"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 Table of contents"/>
      <sheetName val=" Budget message"/>
      <sheetName val="Capital Outlay Budget Request"/>
      <sheetName val="General Fund"/>
      <sheetName val="Sales Tax Funds"/>
      <sheetName val="Debt Service Funds"/>
      <sheetName val="capital projects fund"/>
      <sheetName val="Utility Fund"/>
      <sheetName val="Utility Fund - analysis by dept"/>
    </sheetNames>
    <sheetDataSet>
      <sheetData sheetId="0">
        <row r="10">
          <cell r="B10" t="str">
            <v xml:space="preserve">  DRAFT TO BE USED FOR ACCUMULATING INFORMATION FOR</v>
          </cell>
        </row>
        <row r="11">
          <cell r="B11" t="str">
            <v xml:space="preserve">      9/30/07 AMENDED BUDGET AND 9/30/08 BUDGET</v>
          </cell>
        </row>
        <row r="16">
          <cell r="A16" t="str">
            <v>TOWN OF PORT BARRE, LOUISIANA</v>
          </cell>
        </row>
        <row r="20">
          <cell r="A20" t="str">
            <v>AMENDED  BUDGET</v>
          </cell>
        </row>
        <row r="22">
          <cell r="A22" t="str">
            <v>YEAR ENDING SEPTEMBER 30, 2007</v>
          </cell>
        </row>
        <row r="24">
          <cell r="A24" t="str">
            <v>AND THE</v>
          </cell>
        </row>
        <row r="26">
          <cell r="A26" t="str">
            <v>ORIGINAL  BUDGET</v>
          </cell>
        </row>
        <row r="28">
          <cell r="A28" t="str">
            <v>YEAR ENDING SEPTEMBER 30, 2008</v>
          </cell>
        </row>
      </sheetData>
      <sheetData sheetId="1">
        <row r="2">
          <cell r="E2" t="str">
            <v>BUDGET</v>
          </cell>
        </row>
        <row r="3">
          <cell r="D3" t="str">
            <v xml:space="preserve">  Year Ending September 30, 2008</v>
          </cell>
        </row>
        <row r="6">
          <cell r="D6" t="str">
            <v xml:space="preserve">         TABLE OF CONTENTS</v>
          </cell>
        </row>
        <row r="8">
          <cell r="I8" t="str">
            <v>Page</v>
          </cell>
        </row>
        <row r="10">
          <cell r="C10" t="str">
            <v>Budget message</v>
          </cell>
          <cell r="I10" t="str">
            <v>-</v>
          </cell>
        </row>
        <row r="12">
          <cell r="C12" t="str">
            <v>Consolidated budget</v>
          </cell>
          <cell r="I12" t="str">
            <v>1</v>
          </cell>
        </row>
        <row r="14">
          <cell r="C14" t="str">
            <v>Capital outlay budget request</v>
          </cell>
          <cell r="I14" t="str">
            <v>2</v>
          </cell>
        </row>
        <row r="16">
          <cell r="C16" t="str">
            <v>General Fund -</v>
          </cell>
        </row>
        <row r="17">
          <cell r="C17" t="str">
            <v xml:space="preserve">    Budget</v>
          </cell>
          <cell r="I17" t="str">
            <v>3</v>
          </cell>
        </row>
        <row r="18">
          <cell r="C18" t="str">
            <v xml:space="preserve">    Revenue summary</v>
          </cell>
          <cell r="I18" t="str">
            <v>4</v>
          </cell>
        </row>
        <row r="19">
          <cell r="C19" t="str">
            <v xml:space="preserve">    Summary of expenditures </v>
          </cell>
          <cell r="I19" t="str">
            <v>5 - 6</v>
          </cell>
        </row>
        <row r="21">
          <cell r="C21" t="str">
            <v>Special revenue funds-</v>
          </cell>
        </row>
        <row r="22">
          <cell r="C22" t="str">
            <v xml:space="preserve">  1966 and 1996 Sales Tax Funds -</v>
          </cell>
        </row>
        <row r="23">
          <cell r="C23" t="str">
            <v xml:space="preserve">    Combining statement of revenues and expenditures</v>
          </cell>
          <cell r="I23" t="str">
            <v>7</v>
          </cell>
        </row>
        <row r="25">
          <cell r="C25" t="str">
            <v>Debt service fund -</v>
          </cell>
        </row>
        <row r="26">
          <cell r="C26" t="str">
            <v xml:space="preserve">  Combining statement of revenues and expenditures</v>
          </cell>
          <cell r="I26" t="str">
            <v>8</v>
          </cell>
        </row>
        <row r="28">
          <cell r="C28" t="str">
            <v>Capital projects fund -</v>
          </cell>
        </row>
        <row r="29">
          <cell r="C29" t="str">
            <v xml:space="preserve">    Budget</v>
          </cell>
          <cell r="I29" t="str">
            <v>9</v>
          </cell>
        </row>
        <row r="31">
          <cell r="C31" t="str">
            <v>Utility Fund (combined utility -</v>
          </cell>
        </row>
        <row r="32">
          <cell r="C32" t="str">
            <v xml:space="preserve">  gas, water, and sewer) -</v>
          </cell>
        </row>
        <row r="33">
          <cell r="C33" t="str">
            <v xml:space="preserve">    Budget</v>
          </cell>
          <cell r="I33" t="str">
            <v>10</v>
          </cell>
        </row>
        <row r="34">
          <cell r="C34" t="str">
            <v xml:space="preserve">    Departmental utility fund analysis</v>
          </cell>
          <cell r="I34" t="str">
            <v>11</v>
          </cell>
        </row>
        <row r="171">
          <cell r="B171" t="str">
            <v>|::</v>
          </cell>
        </row>
      </sheetData>
      <sheetData sheetId="2">
        <row r="3">
          <cell r="C3" t="str">
            <v xml:space="preserve">                 TOWN OF PORT BARRE, LOUISIANA</v>
          </cell>
        </row>
      </sheetData>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J776"/>
  <sheetViews>
    <sheetView showGridLines="0" view="pageBreakPreview" topLeftCell="A19" zoomScale="70" zoomScaleNormal="70" zoomScaleSheetLayoutView="70" workbookViewId="0">
      <selection activeCell="E6" sqref="E6"/>
    </sheetView>
  </sheetViews>
  <sheetFormatPr defaultColWidth="12.77734375" defaultRowHeight="15.75" x14ac:dyDescent="0.25"/>
  <cols>
    <col min="1" max="1" width="2.33203125" style="228" customWidth="1"/>
    <col min="2" max="5" width="12.77734375" style="228"/>
    <col min="6" max="6" width="2.44140625" style="228" customWidth="1"/>
    <col min="7" max="7" width="12.77734375" style="229"/>
    <col min="8" max="8" width="21.6640625" style="228" customWidth="1"/>
    <col min="9" max="9" width="11.5546875" style="228" customWidth="1"/>
    <col min="10" max="10" width="13.77734375" style="228" customWidth="1"/>
    <col min="11" max="15" width="12.77734375" style="228"/>
    <col min="16" max="16" width="9.77734375" style="228" customWidth="1"/>
    <col min="17" max="19" width="12.77734375" style="228"/>
    <col min="20" max="20" width="62.77734375" style="228" customWidth="1"/>
    <col min="21" max="16384" width="12.77734375" style="228"/>
  </cols>
  <sheetData>
    <row r="1" spans="1:8" ht="22.5" x14ac:dyDescent="0.3">
      <c r="A1" s="611" t="s">
        <v>389</v>
      </c>
      <c r="B1" s="611"/>
      <c r="C1" s="611"/>
      <c r="D1" s="611"/>
      <c r="E1" s="611"/>
      <c r="F1" s="611"/>
      <c r="G1" s="611"/>
      <c r="H1" s="611"/>
    </row>
    <row r="3" spans="1:8" x14ac:dyDescent="0.25">
      <c r="A3" s="612" t="s">
        <v>529</v>
      </c>
      <c r="B3" s="612"/>
      <c r="C3" s="612"/>
      <c r="D3" s="612"/>
      <c r="E3" s="612"/>
      <c r="F3" s="612"/>
      <c r="G3" s="612"/>
      <c r="H3" s="612"/>
    </row>
    <row r="4" spans="1:8" x14ac:dyDescent="0.25">
      <c r="A4" s="230"/>
      <c r="B4" s="230"/>
      <c r="C4" s="230"/>
      <c r="D4" s="230"/>
      <c r="E4" s="230"/>
      <c r="F4" s="230"/>
      <c r="G4" s="231"/>
      <c r="H4" s="230"/>
    </row>
    <row r="5" spans="1:8" x14ac:dyDescent="0.25">
      <c r="A5" s="230"/>
      <c r="B5" s="230"/>
      <c r="C5" s="230"/>
      <c r="D5" s="230"/>
      <c r="E5" s="230"/>
      <c r="F5" s="230"/>
      <c r="G5" s="231"/>
      <c r="H5" s="230"/>
    </row>
    <row r="6" spans="1:8" ht="18.75" x14ac:dyDescent="0.3">
      <c r="A6" s="232" t="s">
        <v>390</v>
      </c>
      <c r="B6" s="230"/>
      <c r="C6" s="230"/>
      <c r="D6" s="230"/>
      <c r="E6" s="230"/>
      <c r="F6" s="230"/>
      <c r="G6" s="231"/>
      <c r="H6" s="230"/>
    </row>
    <row r="7" spans="1:8" x14ac:dyDescent="0.25">
      <c r="A7" s="230"/>
      <c r="B7" s="230"/>
      <c r="C7" s="230"/>
      <c r="D7" s="230"/>
      <c r="E7" s="230"/>
      <c r="F7" s="230"/>
      <c r="G7" s="231"/>
      <c r="H7" s="230"/>
    </row>
    <row r="10" spans="1:8" x14ac:dyDescent="0.25">
      <c r="B10" s="228" t="s">
        <v>391</v>
      </c>
    </row>
    <row r="11" spans="1:8" x14ac:dyDescent="0.25">
      <c r="B11" s="228" t="s">
        <v>392</v>
      </c>
    </row>
    <row r="13" spans="1:8" x14ac:dyDescent="0.25">
      <c r="B13" s="228" t="s">
        <v>393</v>
      </c>
    </row>
    <row r="14" spans="1:8" x14ac:dyDescent="0.25">
      <c r="B14" s="228" t="s">
        <v>530</v>
      </c>
    </row>
    <row r="16" spans="1:8" x14ac:dyDescent="0.25">
      <c r="B16" s="228" t="s">
        <v>394</v>
      </c>
    </row>
    <row r="17" spans="2:4" x14ac:dyDescent="0.25">
      <c r="B17" s="228" t="s">
        <v>395</v>
      </c>
    </row>
    <row r="19" spans="2:4" x14ac:dyDescent="0.25">
      <c r="B19" s="228" t="s">
        <v>396</v>
      </c>
    </row>
    <row r="20" spans="2:4" x14ac:dyDescent="0.25">
      <c r="B20" s="233" t="s">
        <v>531</v>
      </c>
    </row>
    <row r="21" spans="2:4" x14ac:dyDescent="0.25">
      <c r="B21" s="228" t="s">
        <v>397</v>
      </c>
    </row>
    <row r="23" spans="2:4" x14ac:dyDescent="0.25">
      <c r="B23" s="228" t="s">
        <v>398</v>
      </c>
    </row>
    <row r="24" spans="2:4" x14ac:dyDescent="0.25">
      <c r="B24" s="228" t="s">
        <v>532</v>
      </c>
    </row>
    <row r="25" spans="2:4" x14ac:dyDescent="0.25">
      <c r="B25" s="228" t="s">
        <v>399</v>
      </c>
    </row>
    <row r="27" spans="2:4" x14ac:dyDescent="0.25">
      <c r="B27" s="228" t="s">
        <v>400</v>
      </c>
    </row>
    <row r="28" spans="2:4" x14ac:dyDescent="0.25">
      <c r="B28" s="228" t="s">
        <v>401</v>
      </c>
    </row>
    <row r="29" spans="2:4" x14ac:dyDescent="0.25">
      <c r="B29" s="228" t="s">
        <v>402</v>
      </c>
    </row>
    <row r="31" spans="2:4" x14ac:dyDescent="0.25">
      <c r="B31" s="228" t="s">
        <v>533</v>
      </c>
    </row>
    <row r="32" spans="2:4" x14ac:dyDescent="0.25">
      <c r="B32" s="234" t="s">
        <v>403</v>
      </c>
      <c r="C32" s="234"/>
      <c r="D32" s="234"/>
    </row>
    <row r="33" spans="1:8" x14ac:dyDescent="0.25">
      <c r="B33" s="610" t="s">
        <v>414</v>
      </c>
      <c r="C33" s="610"/>
      <c r="D33" s="610"/>
      <c r="E33" s="610"/>
      <c r="F33" s="610"/>
      <c r="G33" s="610"/>
      <c r="H33" s="610"/>
    </row>
    <row r="34" spans="1:8" x14ac:dyDescent="0.25">
      <c r="B34" s="610"/>
      <c r="C34" s="610"/>
      <c r="D34" s="610"/>
      <c r="E34" s="610"/>
      <c r="F34" s="610"/>
      <c r="G34" s="610"/>
      <c r="H34" s="610"/>
    </row>
    <row r="35" spans="1:8" x14ac:dyDescent="0.25">
      <c r="B35" s="610"/>
      <c r="C35" s="610"/>
      <c r="D35" s="610"/>
      <c r="E35" s="610"/>
      <c r="F35" s="610"/>
      <c r="G35" s="610"/>
      <c r="H35" s="610"/>
    </row>
    <row r="36" spans="1:8" x14ac:dyDescent="0.25">
      <c r="B36" s="610"/>
      <c r="C36" s="610"/>
      <c r="D36" s="610"/>
      <c r="E36" s="610"/>
      <c r="F36" s="610"/>
      <c r="G36" s="610"/>
      <c r="H36" s="610"/>
    </row>
    <row r="37" spans="1:8" x14ac:dyDescent="0.25">
      <c r="B37" s="610"/>
      <c r="C37" s="610"/>
      <c r="D37" s="610"/>
      <c r="E37" s="610"/>
      <c r="F37" s="610"/>
      <c r="G37" s="610"/>
      <c r="H37" s="610"/>
    </row>
    <row r="38" spans="1:8" x14ac:dyDescent="0.25">
      <c r="B38" s="610"/>
      <c r="C38" s="610"/>
      <c r="D38" s="610"/>
      <c r="E38" s="610"/>
      <c r="F38" s="610"/>
      <c r="G38" s="610"/>
      <c r="H38" s="610"/>
    </row>
    <row r="39" spans="1:8" x14ac:dyDescent="0.25">
      <c r="B39" s="234"/>
      <c r="C39" s="234"/>
      <c r="D39" s="234"/>
    </row>
    <row r="40" spans="1:8" x14ac:dyDescent="0.25">
      <c r="B40" s="234" t="s">
        <v>413</v>
      </c>
      <c r="C40" s="234"/>
      <c r="D40" s="234"/>
    </row>
    <row r="41" spans="1:8" x14ac:dyDescent="0.25">
      <c r="B41" s="234" t="s">
        <v>536</v>
      </c>
      <c r="C41" s="234"/>
      <c r="D41" s="234"/>
    </row>
    <row r="42" spans="1:8" x14ac:dyDescent="0.25">
      <c r="B42" s="234"/>
      <c r="C42" s="234"/>
      <c r="D42" s="234"/>
    </row>
    <row r="43" spans="1:8" x14ac:dyDescent="0.25">
      <c r="B43" s="234"/>
      <c r="C43" s="234"/>
      <c r="D43" s="234"/>
    </row>
    <row r="44" spans="1:8" x14ac:dyDescent="0.25">
      <c r="A44" s="228" t="s">
        <v>404</v>
      </c>
      <c r="B44" s="234"/>
      <c r="C44" s="234"/>
      <c r="D44" s="234"/>
    </row>
    <row r="45" spans="1:8" x14ac:dyDescent="0.25">
      <c r="B45" s="234"/>
      <c r="C45" s="234"/>
      <c r="D45" s="234"/>
    </row>
    <row r="46" spans="1:8" x14ac:dyDescent="0.25">
      <c r="B46" s="234" t="s">
        <v>405</v>
      </c>
      <c r="C46" s="234"/>
      <c r="D46" s="234"/>
    </row>
    <row r="47" spans="1:8" x14ac:dyDescent="0.25">
      <c r="B47" s="234"/>
      <c r="C47" s="234"/>
      <c r="D47" s="234"/>
    </row>
    <row r="48" spans="1:8" x14ac:dyDescent="0.25">
      <c r="B48" s="234" t="s">
        <v>406</v>
      </c>
      <c r="C48" s="234"/>
      <c r="D48" s="234"/>
    </row>
    <row r="49" spans="1:8" x14ac:dyDescent="0.25">
      <c r="B49" s="234"/>
      <c r="C49" s="234"/>
      <c r="D49" s="234"/>
    </row>
    <row r="50" spans="1:8" x14ac:dyDescent="0.25">
      <c r="B50" s="234"/>
      <c r="C50" s="234"/>
      <c r="D50" s="234"/>
    </row>
    <row r="52" spans="1:8" x14ac:dyDescent="0.25">
      <c r="B52" s="234" t="s">
        <v>407</v>
      </c>
    </row>
    <row r="53" spans="1:8" x14ac:dyDescent="0.25">
      <c r="B53" s="234" t="s">
        <v>535</v>
      </c>
    </row>
    <row r="57" spans="1:8" x14ac:dyDescent="0.25">
      <c r="D57" s="235" t="s">
        <v>534</v>
      </c>
      <c r="E57" s="236"/>
    </row>
    <row r="59" spans="1:8" x14ac:dyDescent="0.25">
      <c r="A59" s="234" t="s">
        <v>408</v>
      </c>
    </row>
    <row r="60" spans="1:8" x14ac:dyDescent="0.25">
      <c r="B60" s="237"/>
      <c r="C60" s="237"/>
    </row>
    <row r="61" spans="1:8" x14ac:dyDescent="0.25">
      <c r="B61" s="234" t="s">
        <v>409</v>
      </c>
    </row>
    <row r="62" spans="1:8" x14ac:dyDescent="0.25">
      <c r="A62" s="238" t="s">
        <v>19</v>
      </c>
    </row>
    <row r="63" spans="1:8" ht="22.5" x14ac:dyDescent="0.3">
      <c r="A63" s="611" t="s">
        <v>389</v>
      </c>
      <c r="B63" s="611"/>
      <c r="C63" s="611"/>
      <c r="D63" s="611"/>
      <c r="E63" s="611"/>
      <c r="F63" s="611"/>
      <c r="G63" s="611"/>
      <c r="H63" s="611"/>
    </row>
    <row r="65" spans="1:8" x14ac:dyDescent="0.25">
      <c r="A65" s="612" t="s">
        <v>537</v>
      </c>
      <c r="B65" s="612"/>
      <c r="C65" s="612"/>
      <c r="D65" s="612"/>
      <c r="E65" s="612"/>
      <c r="F65" s="612"/>
      <c r="G65" s="612"/>
      <c r="H65" s="612"/>
    </row>
    <row r="66" spans="1:8" x14ac:dyDescent="0.25">
      <c r="A66" s="230"/>
      <c r="B66" s="230"/>
      <c r="C66" s="230"/>
      <c r="D66" s="230"/>
      <c r="E66" s="230"/>
      <c r="F66" s="230"/>
      <c r="G66" s="231"/>
      <c r="H66" s="230"/>
    </row>
    <row r="67" spans="1:8" x14ac:dyDescent="0.25">
      <c r="A67" s="230"/>
      <c r="B67" s="230"/>
      <c r="C67" s="230"/>
      <c r="D67" s="230"/>
      <c r="E67" s="230"/>
      <c r="F67" s="230"/>
      <c r="G67" s="231"/>
      <c r="H67" s="230"/>
    </row>
    <row r="68" spans="1:8" ht="18.75" x14ac:dyDescent="0.3">
      <c r="A68" s="232" t="s">
        <v>390</v>
      </c>
      <c r="B68" s="230"/>
      <c r="C68" s="230"/>
      <c r="D68" s="230"/>
      <c r="E68" s="230"/>
      <c r="F68" s="230"/>
      <c r="G68" s="231"/>
      <c r="H68" s="230"/>
    </row>
    <row r="69" spans="1:8" x14ac:dyDescent="0.25">
      <c r="A69" s="230"/>
      <c r="B69" s="230"/>
      <c r="C69" s="230"/>
      <c r="D69" s="230"/>
      <c r="E69" s="230"/>
      <c r="F69" s="230"/>
      <c r="G69" s="231"/>
      <c r="H69" s="230"/>
    </row>
    <row r="72" spans="1:8" x14ac:dyDescent="0.25">
      <c r="B72" s="228" t="s">
        <v>391</v>
      </c>
    </row>
    <row r="73" spans="1:8" x14ac:dyDescent="0.25">
      <c r="B73" s="228" t="s">
        <v>392</v>
      </c>
    </row>
    <row r="75" spans="1:8" x14ac:dyDescent="0.25">
      <c r="B75" s="228" t="s">
        <v>410</v>
      </c>
    </row>
    <row r="76" spans="1:8" x14ac:dyDescent="0.25">
      <c r="B76" s="228" t="s">
        <v>538</v>
      </c>
    </row>
    <row r="78" spans="1:8" x14ac:dyDescent="0.25">
      <c r="B78" s="228" t="s">
        <v>394</v>
      </c>
    </row>
    <row r="79" spans="1:8" x14ac:dyDescent="0.25">
      <c r="B79" s="228" t="s">
        <v>395</v>
      </c>
    </row>
    <row r="81" spans="2:8" x14ac:dyDescent="0.25">
      <c r="B81" s="228" t="s">
        <v>396</v>
      </c>
    </row>
    <row r="82" spans="2:8" x14ac:dyDescent="0.25">
      <c r="B82" s="233" t="s">
        <v>509</v>
      </c>
    </row>
    <row r="83" spans="2:8" x14ac:dyDescent="0.25">
      <c r="B83" s="228" t="s">
        <v>411</v>
      </c>
    </row>
    <row r="85" spans="2:8" x14ac:dyDescent="0.25">
      <c r="B85" s="228" t="s">
        <v>398</v>
      </c>
    </row>
    <row r="86" spans="2:8" x14ac:dyDescent="0.25">
      <c r="B86" s="228" t="s">
        <v>510</v>
      </c>
    </row>
    <row r="87" spans="2:8" x14ac:dyDescent="0.25">
      <c r="B87" s="228" t="s">
        <v>399</v>
      </c>
    </row>
    <row r="89" spans="2:8" x14ac:dyDescent="0.25">
      <c r="B89" s="228" t="s">
        <v>400</v>
      </c>
    </row>
    <row r="90" spans="2:8" x14ac:dyDescent="0.25">
      <c r="B90" s="228" t="s">
        <v>401</v>
      </c>
    </row>
    <row r="91" spans="2:8" x14ac:dyDescent="0.25">
      <c r="B91" s="228" t="s">
        <v>402</v>
      </c>
    </row>
    <row r="93" spans="2:8" x14ac:dyDescent="0.25">
      <c r="B93" s="228" t="s">
        <v>511</v>
      </c>
    </row>
    <row r="94" spans="2:8" x14ac:dyDescent="0.25">
      <c r="B94" s="234" t="s">
        <v>412</v>
      </c>
      <c r="C94" s="234"/>
      <c r="D94" s="234"/>
    </row>
    <row r="95" spans="2:8" x14ac:dyDescent="0.25">
      <c r="B95" s="610" t="s">
        <v>415</v>
      </c>
      <c r="C95" s="610"/>
      <c r="D95" s="610"/>
      <c r="E95" s="610"/>
      <c r="F95" s="610"/>
      <c r="G95" s="610"/>
      <c r="H95" s="610"/>
    </row>
    <row r="96" spans="2:8" x14ac:dyDescent="0.25">
      <c r="B96" s="610"/>
      <c r="C96" s="610"/>
      <c r="D96" s="610"/>
      <c r="E96" s="610"/>
      <c r="F96" s="610"/>
      <c r="G96" s="610"/>
      <c r="H96" s="610"/>
    </row>
    <row r="97" spans="1:8" x14ac:dyDescent="0.25">
      <c r="B97" s="610"/>
      <c r="C97" s="610"/>
      <c r="D97" s="610"/>
      <c r="E97" s="610"/>
      <c r="F97" s="610"/>
      <c r="G97" s="610"/>
      <c r="H97" s="610"/>
    </row>
    <row r="98" spans="1:8" x14ac:dyDescent="0.25">
      <c r="B98" s="610"/>
      <c r="C98" s="610"/>
      <c r="D98" s="610"/>
      <c r="E98" s="610"/>
      <c r="F98" s="610"/>
      <c r="G98" s="610"/>
      <c r="H98" s="610"/>
    </row>
    <row r="99" spans="1:8" x14ac:dyDescent="0.25">
      <c r="B99" s="610"/>
      <c r="C99" s="610"/>
      <c r="D99" s="610"/>
      <c r="E99" s="610"/>
      <c r="F99" s="610"/>
      <c r="G99" s="610"/>
      <c r="H99" s="610"/>
    </row>
    <row r="100" spans="1:8" x14ac:dyDescent="0.25">
      <c r="B100" s="234"/>
      <c r="C100" s="234"/>
      <c r="D100" s="234"/>
    </row>
    <row r="101" spans="1:8" x14ac:dyDescent="0.25">
      <c r="B101" s="234"/>
      <c r="C101" s="234"/>
      <c r="D101" s="234"/>
    </row>
    <row r="102" spans="1:8" x14ac:dyDescent="0.25">
      <c r="A102" s="247" t="s">
        <v>404</v>
      </c>
      <c r="B102" s="234"/>
      <c r="C102" s="234"/>
      <c r="D102" s="234"/>
    </row>
    <row r="103" spans="1:8" x14ac:dyDescent="0.25">
      <c r="B103" s="234"/>
      <c r="C103" s="234"/>
      <c r="D103" s="234"/>
    </row>
    <row r="104" spans="1:8" x14ac:dyDescent="0.25">
      <c r="B104" s="234" t="s">
        <v>405</v>
      </c>
      <c r="C104" s="234"/>
      <c r="D104" s="234"/>
    </row>
    <row r="105" spans="1:8" x14ac:dyDescent="0.25">
      <c r="B105" s="234"/>
      <c r="C105" s="234"/>
      <c r="D105" s="234"/>
    </row>
    <row r="106" spans="1:8" x14ac:dyDescent="0.25">
      <c r="B106" s="234" t="s">
        <v>406</v>
      </c>
      <c r="C106" s="234"/>
      <c r="D106" s="234"/>
    </row>
    <row r="107" spans="1:8" x14ac:dyDescent="0.25">
      <c r="B107" s="234"/>
      <c r="C107" s="234"/>
      <c r="D107" s="234"/>
    </row>
    <row r="108" spans="1:8" x14ac:dyDescent="0.25">
      <c r="B108" s="234"/>
      <c r="C108" s="234"/>
      <c r="D108" s="234"/>
    </row>
    <row r="110" spans="1:8" x14ac:dyDescent="0.25">
      <c r="B110" s="234" t="s">
        <v>407</v>
      </c>
    </row>
    <row r="111" spans="1:8" x14ac:dyDescent="0.25">
      <c r="B111" s="234" t="s">
        <v>550</v>
      </c>
    </row>
    <row r="115" spans="1:8" x14ac:dyDescent="0.25">
      <c r="D115" s="235" t="s">
        <v>534</v>
      </c>
      <c r="E115" s="236"/>
    </row>
    <row r="117" spans="1:8" x14ac:dyDescent="0.25">
      <c r="A117" s="234" t="s">
        <v>408</v>
      </c>
      <c r="D117" s="74"/>
    </row>
    <row r="118" spans="1:8" x14ac:dyDescent="0.25">
      <c r="B118" s="237"/>
      <c r="C118" s="237"/>
    </row>
    <row r="119" spans="1:8" x14ac:dyDescent="0.25">
      <c r="B119" s="234" t="s">
        <v>409</v>
      </c>
    </row>
    <row r="120" spans="1:8" x14ac:dyDescent="0.25">
      <c r="A120" s="238"/>
    </row>
    <row r="123" spans="1:8" x14ac:dyDescent="0.25">
      <c r="B123" s="239"/>
    </row>
    <row r="125" spans="1:8" x14ac:dyDescent="0.25">
      <c r="F125" s="239"/>
      <c r="G125" s="240"/>
      <c r="H125" s="239"/>
    </row>
    <row r="129" spans="6:8" x14ac:dyDescent="0.25">
      <c r="F129" s="241"/>
      <c r="G129" s="242"/>
      <c r="H129" s="241"/>
    </row>
    <row r="130" spans="6:8" x14ac:dyDescent="0.25">
      <c r="F130" s="243"/>
      <c r="G130" s="244"/>
      <c r="H130" s="243"/>
    </row>
    <row r="131" spans="6:8" x14ac:dyDescent="0.25">
      <c r="F131" s="243"/>
      <c r="G131" s="244"/>
      <c r="H131" s="243"/>
    </row>
    <row r="132" spans="6:8" x14ac:dyDescent="0.25">
      <c r="F132" s="243"/>
      <c r="G132" s="244"/>
      <c r="H132" s="243"/>
    </row>
    <row r="133" spans="6:8" x14ac:dyDescent="0.25">
      <c r="F133" s="243"/>
      <c r="G133" s="244"/>
      <c r="H133" s="243"/>
    </row>
    <row r="134" spans="6:8" x14ac:dyDescent="0.25">
      <c r="F134" s="243"/>
      <c r="G134" s="244"/>
      <c r="H134" s="243"/>
    </row>
    <row r="135" spans="6:8" x14ac:dyDescent="0.25">
      <c r="F135" s="243"/>
      <c r="G135" s="244"/>
      <c r="H135" s="243"/>
    </row>
    <row r="137" spans="6:8" x14ac:dyDescent="0.25">
      <c r="F137" s="241"/>
      <c r="G137" s="242"/>
      <c r="H137" s="241"/>
    </row>
    <row r="142" spans="6:8" x14ac:dyDescent="0.25">
      <c r="F142" s="241"/>
      <c r="G142" s="242"/>
      <c r="H142" s="241"/>
    </row>
    <row r="144" spans="6:8" x14ac:dyDescent="0.25">
      <c r="F144" s="243"/>
      <c r="G144" s="244"/>
      <c r="H144" s="243"/>
    </row>
    <row r="145" spans="6:8" x14ac:dyDescent="0.25">
      <c r="F145" s="243"/>
      <c r="G145" s="244"/>
      <c r="H145" s="243"/>
    </row>
    <row r="146" spans="6:8" x14ac:dyDescent="0.25">
      <c r="F146" s="243"/>
      <c r="G146" s="244"/>
      <c r="H146" s="243"/>
    </row>
    <row r="147" spans="6:8" x14ac:dyDescent="0.25">
      <c r="F147" s="243"/>
      <c r="G147" s="244"/>
      <c r="H147" s="243"/>
    </row>
    <row r="148" spans="6:8" x14ac:dyDescent="0.25">
      <c r="F148" s="243"/>
      <c r="G148" s="244"/>
      <c r="H148" s="243"/>
    </row>
    <row r="149" spans="6:8" x14ac:dyDescent="0.25">
      <c r="F149" s="243"/>
      <c r="G149" s="244"/>
      <c r="H149" s="243"/>
    </row>
    <row r="150" spans="6:8" x14ac:dyDescent="0.25">
      <c r="F150" s="243"/>
      <c r="G150" s="244"/>
      <c r="H150" s="243"/>
    </row>
    <row r="151" spans="6:8" x14ac:dyDescent="0.25">
      <c r="F151" s="243"/>
      <c r="G151" s="244"/>
      <c r="H151" s="243"/>
    </row>
    <row r="153" spans="6:8" x14ac:dyDescent="0.25">
      <c r="F153" s="241"/>
      <c r="G153" s="242"/>
      <c r="H153" s="241"/>
    </row>
    <row r="156" spans="6:8" x14ac:dyDescent="0.25">
      <c r="F156" s="241"/>
      <c r="G156" s="242"/>
      <c r="H156" s="241"/>
    </row>
    <row r="159" spans="6:8" x14ac:dyDescent="0.25">
      <c r="F159" s="241"/>
      <c r="G159" s="242"/>
      <c r="H159" s="241"/>
    </row>
    <row r="160" spans="6:8" x14ac:dyDescent="0.25">
      <c r="F160" s="243"/>
      <c r="G160" s="244"/>
      <c r="H160" s="243"/>
    </row>
    <row r="161" spans="6:8" x14ac:dyDescent="0.25">
      <c r="F161" s="243"/>
      <c r="G161" s="244"/>
      <c r="H161" s="243"/>
    </row>
    <row r="162" spans="6:8" x14ac:dyDescent="0.25">
      <c r="F162" s="243"/>
      <c r="G162" s="244"/>
      <c r="H162" s="243"/>
    </row>
    <row r="163" spans="6:8" x14ac:dyDescent="0.25">
      <c r="F163" s="243"/>
      <c r="G163" s="244"/>
      <c r="H163" s="243"/>
    </row>
    <row r="165" spans="6:8" x14ac:dyDescent="0.25">
      <c r="F165" s="241"/>
      <c r="G165" s="242"/>
      <c r="H165" s="241"/>
    </row>
    <row r="169" spans="6:8" x14ac:dyDescent="0.25">
      <c r="F169" s="241"/>
      <c r="G169" s="242"/>
      <c r="H169" s="241"/>
    </row>
    <row r="173" spans="6:8" x14ac:dyDescent="0.25">
      <c r="F173" s="241"/>
      <c r="G173" s="242"/>
      <c r="H173" s="241"/>
    </row>
    <row r="174" spans="6:8" x14ac:dyDescent="0.25">
      <c r="F174" s="243"/>
      <c r="G174" s="244"/>
      <c r="H174" s="243"/>
    </row>
    <row r="175" spans="6:8" x14ac:dyDescent="0.25">
      <c r="F175" s="243"/>
      <c r="G175" s="244"/>
      <c r="H175" s="243"/>
    </row>
    <row r="176" spans="6:8" x14ac:dyDescent="0.25">
      <c r="F176" s="243"/>
      <c r="G176" s="244"/>
      <c r="H176" s="243"/>
    </row>
    <row r="177" spans="6:8" x14ac:dyDescent="0.25">
      <c r="F177" s="243"/>
      <c r="G177" s="244"/>
      <c r="H177" s="243"/>
    </row>
    <row r="178" spans="6:8" x14ac:dyDescent="0.25">
      <c r="F178" s="243"/>
      <c r="G178" s="244"/>
      <c r="H178" s="243"/>
    </row>
    <row r="181" spans="6:8" x14ac:dyDescent="0.25">
      <c r="F181" s="241"/>
      <c r="G181" s="242"/>
      <c r="H181" s="241"/>
    </row>
    <row r="184" spans="6:8" x14ac:dyDescent="0.25">
      <c r="F184" s="241"/>
      <c r="G184" s="242"/>
      <c r="H184" s="241"/>
    </row>
    <row r="189" spans="6:8" x14ac:dyDescent="0.25">
      <c r="F189" s="241"/>
      <c r="G189" s="242"/>
      <c r="H189" s="241"/>
    </row>
    <row r="194" spans="6:8" x14ac:dyDescent="0.25">
      <c r="F194" s="241"/>
      <c r="G194" s="242"/>
      <c r="H194" s="241"/>
    </row>
    <row r="202" spans="6:8" x14ac:dyDescent="0.25">
      <c r="F202" s="241"/>
      <c r="G202" s="242"/>
      <c r="H202" s="241"/>
    </row>
    <row r="203" spans="6:8" x14ac:dyDescent="0.25">
      <c r="F203" s="241"/>
      <c r="G203" s="242"/>
      <c r="H203" s="241"/>
    </row>
    <row r="204" spans="6:8" x14ac:dyDescent="0.25">
      <c r="F204" s="241"/>
      <c r="G204" s="242"/>
      <c r="H204" s="241"/>
    </row>
    <row r="205" spans="6:8" x14ac:dyDescent="0.25">
      <c r="F205" s="241"/>
      <c r="G205" s="242"/>
      <c r="H205" s="241"/>
    </row>
    <row r="209" spans="6:8" x14ac:dyDescent="0.25">
      <c r="F209" s="241"/>
      <c r="G209" s="242"/>
      <c r="H209" s="241"/>
    </row>
    <row r="274" spans="9:9" x14ac:dyDescent="0.25">
      <c r="I274" s="239"/>
    </row>
    <row r="278" spans="9:9" x14ac:dyDescent="0.25">
      <c r="I278" s="241"/>
    </row>
    <row r="279" spans="9:9" x14ac:dyDescent="0.25">
      <c r="I279" s="241"/>
    </row>
    <row r="280" spans="9:9" x14ac:dyDescent="0.25">
      <c r="I280" s="241"/>
    </row>
    <row r="281" spans="9:9" x14ac:dyDescent="0.25">
      <c r="I281" s="241"/>
    </row>
    <row r="282" spans="9:9" x14ac:dyDescent="0.25">
      <c r="I282" s="241"/>
    </row>
    <row r="283" spans="9:9" x14ac:dyDescent="0.25">
      <c r="I283" s="241"/>
    </row>
    <row r="284" spans="9:9" x14ac:dyDescent="0.25">
      <c r="I284" s="241"/>
    </row>
    <row r="286" spans="9:9" x14ac:dyDescent="0.25">
      <c r="I286" s="241"/>
    </row>
    <row r="288" spans="9:9" x14ac:dyDescent="0.25">
      <c r="I288" s="241"/>
    </row>
    <row r="289" spans="9:10" x14ac:dyDescent="0.25">
      <c r="I289" s="241"/>
    </row>
    <row r="290" spans="9:10" x14ac:dyDescent="0.25">
      <c r="I290" s="241"/>
    </row>
    <row r="291" spans="9:10" x14ac:dyDescent="0.25">
      <c r="I291" s="241"/>
    </row>
    <row r="292" spans="9:10" x14ac:dyDescent="0.25">
      <c r="I292" s="241"/>
    </row>
    <row r="293" spans="9:10" x14ac:dyDescent="0.25">
      <c r="I293" s="241"/>
      <c r="J293" s="243"/>
    </row>
    <row r="294" spans="9:10" x14ac:dyDescent="0.25">
      <c r="I294" s="241"/>
      <c r="J294" s="243"/>
    </row>
    <row r="295" spans="9:10" x14ac:dyDescent="0.25">
      <c r="I295" s="241"/>
      <c r="J295" s="243"/>
    </row>
    <row r="296" spans="9:10" x14ac:dyDescent="0.25">
      <c r="I296" s="241"/>
      <c r="J296" s="243"/>
    </row>
    <row r="297" spans="9:10" x14ac:dyDescent="0.25">
      <c r="I297" s="241"/>
      <c r="J297" s="243"/>
    </row>
    <row r="298" spans="9:10" x14ac:dyDescent="0.25">
      <c r="I298" s="241"/>
      <c r="J298" s="243"/>
    </row>
    <row r="299" spans="9:10" x14ac:dyDescent="0.25">
      <c r="I299" s="241"/>
      <c r="J299" s="243"/>
    </row>
    <row r="300" spans="9:10" x14ac:dyDescent="0.25">
      <c r="I300" s="241"/>
      <c r="J300" s="243"/>
    </row>
    <row r="302" spans="9:10" x14ac:dyDescent="0.25">
      <c r="I302" s="241"/>
    </row>
    <row r="304" spans="9:10" x14ac:dyDescent="0.25">
      <c r="I304" s="241"/>
    </row>
    <row r="305" spans="9:10" x14ac:dyDescent="0.25">
      <c r="I305" s="241"/>
    </row>
    <row r="307" spans="9:10" x14ac:dyDescent="0.25">
      <c r="I307" s="241"/>
    </row>
    <row r="308" spans="9:10" x14ac:dyDescent="0.25">
      <c r="I308" s="241"/>
    </row>
    <row r="309" spans="9:10" x14ac:dyDescent="0.25">
      <c r="I309" s="241"/>
      <c r="J309" s="243"/>
    </row>
    <row r="310" spans="9:10" x14ac:dyDescent="0.25">
      <c r="I310" s="241"/>
      <c r="J310" s="243"/>
    </row>
    <row r="311" spans="9:10" x14ac:dyDescent="0.25">
      <c r="I311" s="241"/>
      <c r="J311" s="243"/>
    </row>
    <row r="312" spans="9:10" x14ac:dyDescent="0.25">
      <c r="I312" s="241"/>
      <c r="J312" s="243"/>
    </row>
    <row r="314" spans="9:10" x14ac:dyDescent="0.25">
      <c r="I314" s="241"/>
    </row>
    <row r="316" spans="9:10" x14ac:dyDescent="0.25">
      <c r="I316" s="241"/>
    </row>
    <row r="317" spans="9:10" x14ac:dyDescent="0.25">
      <c r="I317" s="241"/>
    </row>
    <row r="318" spans="9:10" x14ac:dyDescent="0.25">
      <c r="I318" s="241"/>
    </row>
    <row r="320" spans="9:10" x14ac:dyDescent="0.25">
      <c r="I320" s="241"/>
    </row>
    <row r="321" spans="9:9" x14ac:dyDescent="0.25">
      <c r="I321" s="241"/>
    </row>
    <row r="322" spans="9:9" x14ac:dyDescent="0.25">
      <c r="I322" s="241"/>
    </row>
    <row r="323" spans="9:9" x14ac:dyDescent="0.25">
      <c r="I323" s="241"/>
    </row>
    <row r="324" spans="9:9" x14ac:dyDescent="0.25">
      <c r="I324" s="241"/>
    </row>
    <row r="325" spans="9:9" x14ac:dyDescent="0.25">
      <c r="I325" s="241"/>
    </row>
    <row r="326" spans="9:9" x14ac:dyDescent="0.25">
      <c r="I326" s="241"/>
    </row>
    <row r="327" spans="9:9" x14ac:dyDescent="0.25">
      <c r="I327" s="241"/>
    </row>
    <row r="329" spans="9:9" x14ac:dyDescent="0.25">
      <c r="I329" s="241"/>
    </row>
    <row r="330" spans="9:9" x14ac:dyDescent="0.25">
      <c r="I330" s="241"/>
    </row>
    <row r="332" spans="9:9" x14ac:dyDescent="0.25">
      <c r="I332" s="241"/>
    </row>
    <row r="333" spans="9:9" x14ac:dyDescent="0.25">
      <c r="I333" s="241"/>
    </row>
    <row r="334" spans="9:9" x14ac:dyDescent="0.25">
      <c r="I334" s="243"/>
    </row>
    <row r="336" spans="9:9" x14ac:dyDescent="0.25">
      <c r="I336" s="243"/>
    </row>
    <row r="338" spans="9:10" x14ac:dyDescent="0.25">
      <c r="I338" s="241"/>
    </row>
    <row r="339" spans="9:10" x14ac:dyDescent="0.25">
      <c r="I339" s="241"/>
    </row>
    <row r="340" spans="9:10" x14ac:dyDescent="0.25">
      <c r="I340" s="241"/>
    </row>
    <row r="341" spans="9:10" x14ac:dyDescent="0.25">
      <c r="I341" s="241"/>
    </row>
    <row r="342" spans="9:10" x14ac:dyDescent="0.25">
      <c r="I342" s="241"/>
    </row>
    <row r="343" spans="9:10" x14ac:dyDescent="0.25">
      <c r="I343" s="241"/>
    </row>
    <row r="344" spans="9:10" x14ac:dyDescent="0.25">
      <c r="I344" s="241"/>
    </row>
    <row r="345" spans="9:10" x14ac:dyDescent="0.25">
      <c r="I345" s="241"/>
    </row>
    <row r="346" spans="9:10" x14ac:dyDescent="0.25">
      <c r="I346" s="241"/>
    </row>
    <row r="347" spans="9:10" x14ac:dyDescent="0.25">
      <c r="I347" s="241"/>
    </row>
    <row r="348" spans="9:10" x14ac:dyDescent="0.25">
      <c r="I348" s="241"/>
    </row>
    <row r="349" spans="9:10" x14ac:dyDescent="0.25">
      <c r="I349" s="241"/>
    </row>
    <row r="350" spans="9:10" x14ac:dyDescent="0.25">
      <c r="I350" s="241"/>
    </row>
    <row r="351" spans="9:10" x14ac:dyDescent="0.25">
      <c r="I351" s="241"/>
      <c r="J351" s="241"/>
    </row>
    <row r="352" spans="9:10" x14ac:dyDescent="0.25">
      <c r="I352" s="241"/>
      <c r="J352" s="241"/>
    </row>
    <row r="353" spans="9:10" x14ac:dyDescent="0.25">
      <c r="I353" s="241"/>
      <c r="J353" s="241"/>
    </row>
    <row r="354" spans="9:10" x14ac:dyDescent="0.25">
      <c r="I354" s="241"/>
      <c r="J354" s="241"/>
    </row>
    <row r="355" spans="9:10" x14ac:dyDescent="0.25">
      <c r="I355" s="241"/>
    </row>
    <row r="357" spans="9:10" x14ac:dyDescent="0.25">
      <c r="I357" s="241"/>
    </row>
    <row r="358" spans="9:10" x14ac:dyDescent="0.25">
      <c r="I358" s="241"/>
    </row>
    <row r="561" spans="2:8" x14ac:dyDescent="0.25">
      <c r="B561" s="239"/>
    </row>
    <row r="563" spans="2:8" x14ac:dyDescent="0.25">
      <c r="F563" s="239"/>
      <c r="G563" s="240"/>
      <c r="H563" s="239"/>
    </row>
    <row r="567" spans="2:8" x14ac:dyDescent="0.25">
      <c r="F567" s="241"/>
      <c r="G567" s="242"/>
      <c r="H567" s="241"/>
    </row>
    <row r="571" spans="2:8" x14ac:dyDescent="0.25">
      <c r="F571" s="241"/>
      <c r="G571" s="242"/>
      <c r="H571" s="241"/>
    </row>
    <row r="573" spans="2:8" x14ac:dyDescent="0.25">
      <c r="F573" s="241"/>
      <c r="G573" s="242"/>
      <c r="H573" s="241"/>
    </row>
    <row r="576" spans="2:8" x14ac:dyDescent="0.25">
      <c r="F576" s="241"/>
      <c r="G576" s="242"/>
      <c r="H576" s="241"/>
    </row>
    <row r="580" spans="6:8" x14ac:dyDescent="0.25">
      <c r="F580" s="241"/>
      <c r="G580" s="242"/>
      <c r="H580" s="241"/>
    </row>
    <row r="582" spans="6:8" x14ac:dyDescent="0.25">
      <c r="F582" s="241"/>
      <c r="G582" s="242"/>
      <c r="H582" s="241"/>
    </row>
    <row r="586" spans="6:8" x14ac:dyDescent="0.25">
      <c r="F586" s="245"/>
      <c r="G586" s="246"/>
      <c r="H586" s="241"/>
    </row>
    <row r="588" spans="6:8" x14ac:dyDescent="0.25">
      <c r="F588" s="241"/>
      <c r="G588" s="242"/>
      <c r="H588" s="241"/>
    </row>
    <row r="592" spans="6:8" x14ac:dyDescent="0.25">
      <c r="F592" s="241"/>
      <c r="G592" s="242"/>
      <c r="H592" s="241"/>
    </row>
    <row r="594" spans="2:8" x14ac:dyDescent="0.25">
      <c r="F594" s="239"/>
      <c r="G594" s="240"/>
    </row>
    <row r="596" spans="2:8" x14ac:dyDescent="0.25">
      <c r="F596" s="241"/>
      <c r="G596" s="242"/>
      <c r="H596" s="241"/>
    </row>
    <row r="606" spans="2:8" x14ac:dyDescent="0.25">
      <c r="B606" s="239"/>
    </row>
    <row r="610" spans="6:8" x14ac:dyDescent="0.25">
      <c r="F610" s="239"/>
      <c r="G610" s="240"/>
      <c r="H610" s="239"/>
    </row>
    <row r="615" spans="6:8" x14ac:dyDescent="0.25">
      <c r="F615" s="245"/>
      <c r="G615" s="246"/>
      <c r="H615" s="245"/>
    </row>
    <row r="617" spans="6:8" x14ac:dyDescent="0.25">
      <c r="F617" s="239"/>
      <c r="G617" s="240"/>
      <c r="H617" s="239"/>
    </row>
    <row r="620" spans="6:8" x14ac:dyDescent="0.25">
      <c r="F620" s="241"/>
      <c r="G620" s="242"/>
      <c r="H620" s="241"/>
    </row>
    <row r="622" spans="6:8" x14ac:dyDescent="0.25">
      <c r="F622" s="239"/>
      <c r="G622" s="240"/>
      <c r="H622" s="239"/>
    </row>
    <row r="623" spans="6:8" x14ac:dyDescent="0.25">
      <c r="F623" s="239"/>
      <c r="G623" s="240"/>
      <c r="H623" s="239"/>
    </row>
    <row r="624" spans="6:8" x14ac:dyDescent="0.25">
      <c r="F624" s="239"/>
      <c r="G624" s="240"/>
      <c r="H624" s="239"/>
    </row>
    <row r="625" spans="6:8" x14ac:dyDescent="0.25">
      <c r="F625" s="239"/>
      <c r="G625" s="240"/>
      <c r="H625" s="239"/>
    </row>
    <row r="627" spans="6:8" x14ac:dyDescent="0.25">
      <c r="F627" s="241"/>
      <c r="G627" s="242"/>
      <c r="H627" s="241"/>
    </row>
    <row r="712" spans="9:9" x14ac:dyDescent="0.25">
      <c r="I712" s="239"/>
    </row>
    <row r="716" spans="9:9" x14ac:dyDescent="0.25">
      <c r="I716" s="241"/>
    </row>
    <row r="720" spans="9:9" x14ac:dyDescent="0.25">
      <c r="I720" s="241"/>
    </row>
    <row r="722" spans="9:9" x14ac:dyDescent="0.25">
      <c r="I722" s="241"/>
    </row>
    <row r="725" spans="9:9" x14ac:dyDescent="0.25">
      <c r="I725" s="241"/>
    </row>
    <row r="729" spans="9:9" x14ac:dyDescent="0.25">
      <c r="I729" s="241"/>
    </row>
    <row r="731" spans="9:9" x14ac:dyDescent="0.25">
      <c r="I731" s="241"/>
    </row>
    <row r="735" spans="9:9" x14ac:dyDescent="0.25">
      <c r="I735" s="241"/>
    </row>
    <row r="737" spans="9:9" x14ac:dyDescent="0.25">
      <c r="I737" s="241"/>
    </row>
    <row r="741" spans="9:9" x14ac:dyDescent="0.25">
      <c r="I741" s="241"/>
    </row>
    <row r="745" spans="9:9" x14ac:dyDescent="0.25">
      <c r="I745" s="241"/>
    </row>
    <row r="759" spans="9:9" x14ac:dyDescent="0.25">
      <c r="I759" s="239"/>
    </row>
    <row r="764" spans="9:9" x14ac:dyDescent="0.25">
      <c r="I764" s="245"/>
    </row>
    <row r="766" spans="9:9" x14ac:dyDescent="0.25">
      <c r="I766" s="239"/>
    </row>
    <row r="769" spans="9:9" x14ac:dyDescent="0.25">
      <c r="I769" s="241"/>
    </row>
    <row r="771" spans="9:9" x14ac:dyDescent="0.25">
      <c r="I771" s="239"/>
    </row>
    <row r="772" spans="9:9" x14ac:dyDescent="0.25">
      <c r="I772" s="239"/>
    </row>
    <row r="773" spans="9:9" x14ac:dyDescent="0.25">
      <c r="I773" s="239"/>
    </row>
    <row r="774" spans="9:9" x14ac:dyDescent="0.25">
      <c r="I774" s="239"/>
    </row>
    <row r="776" spans="9:9" x14ac:dyDescent="0.25">
      <c r="I776" s="241"/>
    </row>
  </sheetData>
  <mergeCells count="6">
    <mergeCell ref="B33:H38"/>
    <mergeCell ref="B95:H99"/>
    <mergeCell ref="A1:H1"/>
    <mergeCell ref="A3:H3"/>
    <mergeCell ref="A63:H63"/>
    <mergeCell ref="A65:H65"/>
  </mergeCells>
  <pageMargins left="0.5" right="0.1" top="0.5" bottom="0.25" header="0.25" footer="0"/>
  <pageSetup scale="80" fitToWidth="8" fitToHeight="11" orientation="portrait" r:id="rId1"/>
  <headerFooter alignWithMargins="0">
    <oddFooter>&amp;L&amp;"Times New Roman,Regular"&amp;9&amp;D &amp;C&amp;"Times New Roman,Regular"&amp;9&amp;Z&amp;F&amp;R&amp;"Times New Roman,Regular"&amp;9&amp;A</oddFooter>
  </headerFooter>
  <rowBreaks count="1" manualBreakCount="1">
    <brk id="61"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2"/>
  <dimension ref="A1:I23"/>
  <sheetViews>
    <sheetView view="pageBreakPreview" topLeftCell="B1" zoomScaleNormal="75" workbookViewId="0">
      <selection activeCell="M15" sqref="M15"/>
    </sheetView>
  </sheetViews>
  <sheetFormatPr defaultColWidth="9.77734375" defaultRowHeight="15.75" x14ac:dyDescent="0.25"/>
  <cols>
    <col min="1" max="1" width="7.5546875" style="1" hidden="1" customWidth="1"/>
    <col min="2" max="2" width="28.33203125" style="1" customWidth="1"/>
    <col min="3" max="3" width="1.77734375" style="1" customWidth="1"/>
    <col min="4" max="4" width="1.21875" style="1" customWidth="1"/>
    <col min="5" max="5" width="8.21875" style="1" customWidth="1"/>
    <col min="6" max="6" width="1.77734375" style="1" customWidth="1"/>
    <col min="7" max="7" width="10.33203125" style="1" customWidth="1"/>
    <col min="8" max="8" width="1.77734375" style="1" customWidth="1"/>
    <col min="9" max="9" width="8.21875" style="1" bestFit="1" customWidth="1"/>
    <col min="10" max="10" width="8.77734375" style="1" customWidth="1"/>
    <col min="11" max="11" width="9.77734375" style="1"/>
    <col min="12" max="12" width="8.77734375" style="1" customWidth="1"/>
    <col min="13" max="13" width="9.77734375" style="1"/>
    <col min="14" max="14" width="10.77734375" style="1" customWidth="1"/>
    <col min="15" max="16384" width="9.77734375" style="1"/>
  </cols>
  <sheetData>
    <row r="1" spans="1:9" x14ac:dyDescent="0.25">
      <c r="I1" s="49" t="s">
        <v>233</v>
      </c>
    </row>
    <row r="2" spans="1:9" x14ac:dyDescent="0.25">
      <c r="A2" s="18" t="s">
        <v>45</v>
      </c>
      <c r="B2" s="615" t="s">
        <v>45</v>
      </c>
      <c r="C2" s="615"/>
      <c r="D2" s="615"/>
      <c r="E2" s="615"/>
      <c r="F2" s="615"/>
      <c r="G2" s="615"/>
      <c r="H2" s="615"/>
      <c r="I2" s="615"/>
    </row>
    <row r="3" spans="1:9" x14ac:dyDescent="0.25">
      <c r="A3" s="18" t="s">
        <v>221</v>
      </c>
      <c r="B3" s="615" t="s">
        <v>223</v>
      </c>
      <c r="C3" s="615"/>
      <c r="D3" s="615"/>
      <c r="E3" s="615"/>
      <c r="F3" s="615"/>
      <c r="G3" s="615"/>
      <c r="H3" s="615"/>
      <c r="I3" s="615"/>
    </row>
    <row r="4" spans="1:9" x14ac:dyDescent="0.25">
      <c r="A4" s="45" t="str">
        <f>'General Fund'!A4</f>
        <v>Year Ending September 30, 2021</v>
      </c>
      <c r="B4" s="615" t="str">
        <f>'General Fund'!A4</f>
        <v>Year Ending September 30, 2021</v>
      </c>
      <c r="C4" s="615"/>
      <c r="D4" s="615"/>
      <c r="E4" s="615"/>
      <c r="F4" s="615"/>
      <c r="G4" s="615"/>
      <c r="H4" s="615"/>
      <c r="I4" s="615"/>
    </row>
    <row r="5" spans="1:9" x14ac:dyDescent="0.25">
      <c r="C5" s="2"/>
      <c r="D5" s="2"/>
      <c r="F5" s="4"/>
    </row>
    <row r="7" spans="1:9" x14ac:dyDescent="0.25">
      <c r="E7" s="4"/>
      <c r="G7" s="4"/>
      <c r="I7" s="4"/>
    </row>
    <row r="8" spans="1:9" x14ac:dyDescent="0.25">
      <c r="E8" s="621" t="s">
        <v>105</v>
      </c>
      <c r="F8" s="621"/>
      <c r="G8" s="621"/>
      <c r="H8" s="621"/>
      <c r="I8" s="621"/>
    </row>
    <row r="9" spans="1:9" x14ac:dyDescent="0.25">
      <c r="E9" s="71">
        <v>2019</v>
      </c>
      <c r="F9" s="70"/>
      <c r="G9" s="71">
        <f>E9+1</f>
        <v>2020</v>
      </c>
      <c r="H9" s="70"/>
      <c r="I9" s="71">
        <f>G9+1</f>
        <v>2021</v>
      </c>
    </row>
    <row r="10" spans="1:9" x14ac:dyDescent="0.25">
      <c r="E10" s="50" t="s">
        <v>81</v>
      </c>
      <c r="G10" s="50" t="s">
        <v>82</v>
      </c>
      <c r="I10" s="50" t="s">
        <v>83</v>
      </c>
    </row>
    <row r="12" spans="1:9" x14ac:dyDescent="0.25">
      <c r="B12" s="2" t="s">
        <v>0</v>
      </c>
    </row>
    <row r="13" spans="1:9" x14ac:dyDescent="0.25">
      <c r="B13" s="1" t="s">
        <v>570</v>
      </c>
      <c r="E13" s="183">
        <v>0</v>
      </c>
      <c r="F13" s="183"/>
      <c r="G13" s="605">
        <f>'Estimating Schedule - CPF'!J13</f>
        <v>884251</v>
      </c>
      <c r="H13" s="183"/>
      <c r="I13" s="183">
        <v>0</v>
      </c>
    </row>
    <row r="14" spans="1:9" x14ac:dyDescent="0.25">
      <c r="E14" s="48"/>
      <c r="F14" s="48"/>
      <c r="G14" s="48"/>
      <c r="H14" s="48"/>
      <c r="I14" s="48"/>
    </row>
    <row r="15" spans="1:9" x14ac:dyDescent="0.25">
      <c r="B15" s="2" t="s">
        <v>7</v>
      </c>
      <c r="E15" s="51"/>
      <c r="F15" s="48"/>
      <c r="G15" s="51"/>
      <c r="H15" s="48"/>
      <c r="I15" s="51"/>
    </row>
    <row r="16" spans="1:9" ht="18" x14ac:dyDescent="0.4">
      <c r="B16" s="368" t="s">
        <v>576</v>
      </c>
      <c r="E16" s="604">
        <v>0</v>
      </c>
      <c r="F16" s="399"/>
      <c r="G16" s="399">
        <f>'Estimating Schedule - CPF'!J16</f>
        <v>884251</v>
      </c>
      <c r="H16" s="399"/>
      <c r="I16" s="604">
        <v>0</v>
      </c>
    </row>
    <row r="17" spans="2:9" x14ac:dyDescent="0.25">
      <c r="E17" s="48"/>
      <c r="F17" s="48"/>
      <c r="G17" s="48"/>
      <c r="H17" s="48"/>
      <c r="I17" s="48"/>
    </row>
    <row r="18" spans="2:9" x14ac:dyDescent="0.25">
      <c r="B18" s="1" t="s">
        <v>429</v>
      </c>
      <c r="E18" s="186">
        <f>E13-E16</f>
        <v>0</v>
      </c>
      <c r="F18" s="186"/>
      <c r="G18" s="56">
        <f>G13-G16</f>
        <v>0</v>
      </c>
      <c r="H18" s="186" t="s">
        <v>19</v>
      </c>
      <c r="I18" s="186">
        <f>I13-I16</f>
        <v>0</v>
      </c>
    </row>
    <row r="19" spans="2:9" x14ac:dyDescent="0.25">
      <c r="E19" s="51"/>
      <c r="F19" s="48"/>
      <c r="G19" s="51"/>
      <c r="H19" s="48"/>
      <c r="I19" s="51"/>
    </row>
    <row r="20" spans="2:9" ht="18" x14ac:dyDescent="0.4">
      <c r="B20" s="2" t="s">
        <v>150</v>
      </c>
      <c r="E20" s="184">
        <v>0</v>
      </c>
      <c r="F20" s="185"/>
      <c r="G20" s="184">
        <f>E22</f>
        <v>0</v>
      </c>
      <c r="H20" s="185"/>
      <c r="I20" s="184">
        <f>G22</f>
        <v>0</v>
      </c>
    </row>
    <row r="21" spans="2:9" x14ac:dyDescent="0.25">
      <c r="E21" s="57"/>
      <c r="F21" s="8"/>
      <c r="G21" s="57"/>
      <c r="H21" s="8"/>
      <c r="I21" s="57"/>
    </row>
    <row r="22" spans="2:9" ht="18" x14ac:dyDescent="0.4">
      <c r="B22" s="2" t="s">
        <v>104</v>
      </c>
      <c r="E22" s="400">
        <f>SUM(E20:E20)</f>
        <v>0</v>
      </c>
      <c r="F22" s="400"/>
      <c r="G22" s="400">
        <f>SUM(G20:G20)</f>
        <v>0</v>
      </c>
      <c r="H22" s="400"/>
      <c r="I22" s="400">
        <f>SUM(I20:I20)</f>
        <v>0</v>
      </c>
    </row>
    <row r="23" spans="2:9" ht="18" x14ac:dyDescent="0.4">
      <c r="B23" s="1" t="s">
        <v>19</v>
      </c>
      <c r="E23" s="250"/>
      <c r="F23" s="250"/>
      <c r="G23" s="250"/>
      <c r="H23" s="250"/>
      <c r="I23" s="250"/>
    </row>
  </sheetData>
  <mergeCells count="4">
    <mergeCell ref="B4:I4"/>
    <mergeCell ref="B3:I3"/>
    <mergeCell ref="B2:I2"/>
    <mergeCell ref="E8:I8"/>
  </mergeCells>
  <phoneticPr fontId="0" type="noConversion"/>
  <pageMargins left="1" right="1" top="0.5" bottom="0.25" header="0.25" footer="0"/>
  <pageSetup orientation="portrait" r:id="rId1"/>
  <headerFooter alignWithMargins="0">
    <oddFooter>&amp;L&amp;"Times New Roman,Regular"&amp;9&amp;D &amp;C&amp;"Times New Roman,Regular"&amp;9&amp;Z&amp;F&amp;R&amp;"Times New Roman,Regular"&amp;9&amp;A</oddFooter>
  </headerFooter>
  <rowBreaks count="1" manualBreakCount="1">
    <brk id="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3"/>
  <dimension ref="A1:Z112"/>
  <sheetViews>
    <sheetView view="pageBreakPreview" topLeftCell="A12" zoomScale="60" zoomScaleNormal="60" workbookViewId="0">
      <selection activeCell="R52" sqref="R52"/>
    </sheetView>
  </sheetViews>
  <sheetFormatPr defaultColWidth="9.77734375" defaultRowHeight="15.75" x14ac:dyDescent="0.25"/>
  <cols>
    <col min="1" max="1" width="37.88671875" style="1" customWidth="1"/>
    <col min="2" max="2" width="2.33203125" style="1" customWidth="1"/>
    <col min="3" max="3" width="1.77734375" style="1" customWidth="1"/>
    <col min="4" max="4" width="10.109375" style="21" customWidth="1"/>
    <col min="5" max="5" width="2.77734375" style="1" customWidth="1"/>
    <col min="6" max="6" width="10.109375" style="21" customWidth="1"/>
    <col min="7" max="7" width="1.77734375" style="1" customWidth="1"/>
    <col min="8" max="8" width="10.109375" style="21" customWidth="1"/>
    <col min="9" max="9" width="2.77734375" style="1" customWidth="1"/>
    <col min="10" max="10" width="9.77734375" style="1"/>
    <col min="11" max="11" width="1.77734375" style="1" customWidth="1"/>
    <col min="12" max="12" width="9.77734375" style="1"/>
    <col min="13" max="13" width="3.44140625" style="1" customWidth="1"/>
    <col min="14" max="14" width="8.77734375" style="1" customWidth="1"/>
    <col min="15" max="15" width="1.77734375" style="1" customWidth="1"/>
    <col min="16" max="16" width="9.77734375" style="1"/>
    <col min="17" max="17" width="2.77734375" style="1" customWidth="1"/>
    <col min="18" max="18" width="14.33203125" style="1" customWidth="1"/>
    <col min="19" max="19" width="1.77734375" style="1" customWidth="1"/>
    <col min="20" max="16384" width="9.77734375" style="1"/>
  </cols>
  <sheetData>
    <row r="1" spans="1:18" ht="15" customHeight="1" x14ac:dyDescent="0.25">
      <c r="H1" s="46" t="s">
        <v>234</v>
      </c>
    </row>
    <row r="2" spans="1:18" ht="15" customHeight="1" x14ac:dyDescent="0.25">
      <c r="A2" s="615" t="s">
        <v>45</v>
      </c>
      <c r="B2" s="615"/>
      <c r="C2" s="615"/>
      <c r="D2" s="615"/>
      <c r="E2" s="615"/>
      <c r="F2" s="615"/>
      <c r="G2" s="615"/>
      <c r="H2" s="615"/>
    </row>
    <row r="3" spans="1:18" ht="15" customHeight="1" x14ac:dyDescent="0.25">
      <c r="A3" s="615" t="s">
        <v>222</v>
      </c>
      <c r="B3" s="615"/>
      <c r="C3" s="615"/>
      <c r="D3" s="615"/>
      <c r="E3" s="615"/>
      <c r="F3" s="615"/>
      <c r="G3" s="615"/>
      <c r="H3" s="615"/>
    </row>
    <row r="4" spans="1:18" ht="15" customHeight="1" x14ac:dyDescent="0.25">
      <c r="A4" s="615" t="str">
        <f>'General Fund'!A4</f>
        <v>Year Ending September 30, 2021</v>
      </c>
      <c r="B4" s="615"/>
      <c r="C4" s="615"/>
      <c r="D4" s="615"/>
      <c r="E4" s="615"/>
      <c r="F4" s="615"/>
      <c r="G4" s="615"/>
      <c r="H4" s="615"/>
    </row>
    <row r="5" spans="1:18" ht="15" customHeight="1" x14ac:dyDescent="0.25"/>
    <row r="6" spans="1:18" ht="17.25" customHeight="1" x14ac:dyDescent="0.25">
      <c r="D6" s="622" t="s">
        <v>105</v>
      </c>
      <c r="E6" s="622"/>
      <c r="F6" s="622"/>
      <c r="G6" s="622"/>
      <c r="H6" s="622"/>
    </row>
    <row r="7" spans="1:18" ht="15" customHeight="1" x14ac:dyDescent="0.25">
      <c r="D7" s="69">
        <v>2019</v>
      </c>
      <c r="E7" s="72"/>
      <c r="F7" s="69">
        <f>D7+1</f>
        <v>2020</v>
      </c>
      <c r="G7" s="72"/>
      <c r="H7" s="69">
        <f>F7+1</f>
        <v>2021</v>
      </c>
    </row>
    <row r="8" spans="1:18" ht="17.25" customHeight="1" x14ac:dyDescent="0.25">
      <c r="D8" s="47" t="s">
        <v>81</v>
      </c>
      <c r="F8" s="47" t="s">
        <v>82</v>
      </c>
      <c r="H8" s="47" t="s">
        <v>83</v>
      </c>
    </row>
    <row r="9" spans="1:18" ht="15" customHeight="1" x14ac:dyDescent="0.25">
      <c r="A9" s="2" t="s">
        <v>163</v>
      </c>
      <c r="D9" s="30"/>
      <c r="F9" s="30"/>
      <c r="H9" s="30"/>
    </row>
    <row r="10" spans="1:18" ht="15" customHeight="1" x14ac:dyDescent="0.25">
      <c r="A10" s="1" t="s">
        <v>164</v>
      </c>
      <c r="D10" s="429">
        <f>'Utility Fund - analysis by dept'!C15</f>
        <v>267620</v>
      </c>
      <c r="E10" s="452"/>
      <c r="F10" s="429">
        <f>'Utility Fund - analysis by dept'!E15+'Utility Fund - analysis by dept'!E16</f>
        <v>215743</v>
      </c>
      <c r="G10" s="452"/>
      <c r="H10" s="429">
        <f>'Utility Fund - analysis by dept'!G15+'Utility Fund - analysis by dept'!G16</f>
        <v>225700</v>
      </c>
    </row>
    <row r="11" spans="1:18" ht="15" customHeight="1" x14ac:dyDescent="0.25">
      <c r="A11" s="1" t="s">
        <v>165</v>
      </c>
      <c r="D11" s="430">
        <f>'Utility Fund - analysis by dept'!I15</f>
        <v>521587</v>
      </c>
      <c r="E11" s="427"/>
      <c r="F11" s="430">
        <f>'Utility Fund - analysis by dept'!K15+'Utility Fund - analysis by dept'!K16</f>
        <v>548765</v>
      </c>
      <c r="G11" s="427"/>
      <c r="H11" s="430">
        <f>'Utility Fund - analysis by dept'!M15+'Utility Fund - analysis by dept'!M16</f>
        <v>567200</v>
      </c>
      <c r="J11" s="48"/>
      <c r="L11" s="48"/>
      <c r="M11" s="159"/>
      <c r="N11" s="48"/>
    </row>
    <row r="12" spans="1:18" ht="15" customHeight="1" x14ac:dyDescent="0.25">
      <c r="A12" s="1" t="s">
        <v>166</v>
      </c>
      <c r="D12" s="430">
        <f>'Utility Fund - analysis by dept'!O15</f>
        <v>275855</v>
      </c>
      <c r="E12" s="430"/>
      <c r="F12" s="430">
        <f>'Utility Fund - analysis by dept'!Q15</f>
        <v>280709</v>
      </c>
      <c r="G12" s="427"/>
      <c r="H12" s="430">
        <f>'Utility Fund - analysis by dept'!S15+'Utility Fund - analysis by dept'!S16</f>
        <v>296200</v>
      </c>
      <c r="J12" s="48"/>
      <c r="L12" s="48"/>
      <c r="M12" s="159"/>
      <c r="N12" s="48"/>
      <c r="P12" s="159"/>
      <c r="R12" s="160"/>
    </row>
    <row r="13" spans="1:18" ht="15" customHeight="1" x14ac:dyDescent="0.25">
      <c r="A13" s="1" t="s">
        <v>167</v>
      </c>
      <c r="D13" s="430">
        <f>'Utility Fund - analysis by dept'!C17+'Utility Fund - analysis by dept'!I17+'Utility Fund - analysis by dept'!O17</f>
        <v>3950</v>
      </c>
      <c r="E13" s="427"/>
      <c r="F13" s="430">
        <f>'Utility Fund - analysis by dept'!AC17</f>
        <v>3400</v>
      </c>
      <c r="G13" s="438" t="s">
        <v>19</v>
      </c>
      <c r="H13" s="430">
        <f>'Utility Fund - analysis by dept'!AE17</f>
        <v>2800</v>
      </c>
      <c r="P13" s="159"/>
    </row>
    <row r="14" spans="1:18" ht="17.25" customHeight="1" x14ac:dyDescent="0.4">
      <c r="A14" s="1" t="s">
        <v>5</v>
      </c>
      <c r="D14" s="431">
        <f>'Utility Fund - analysis by dept'!AA18</f>
        <v>28072</v>
      </c>
      <c r="E14" s="511"/>
      <c r="F14" s="432">
        <f>'Utility Fund - analysis by dept'!AC18</f>
        <v>57652</v>
      </c>
      <c r="G14" s="511"/>
      <c r="H14" s="431">
        <f>'Utility Fund - analysis by dept'!AE18</f>
        <v>31500</v>
      </c>
    </row>
    <row r="15" spans="1:18" ht="17.25" customHeight="1" x14ac:dyDescent="0.4">
      <c r="A15" s="1" t="s">
        <v>168</v>
      </c>
      <c r="D15" s="431">
        <f>SUM(D10:D14)</f>
        <v>1097084</v>
      </c>
      <c r="E15" s="511"/>
      <c r="F15" s="431">
        <f>SUM(F10:F14)</f>
        <v>1106269</v>
      </c>
      <c r="G15" s="511"/>
      <c r="H15" s="431">
        <f>SUM(H10:H14)</f>
        <v>1123400</v>
      </c>
    </row>
    <row r="16" spans="1:18" ht="9.9499999999999993" customHeight="1" x14ac:dyDescent="0.25">
      <c r="D16" s="430"/>
      <c r="E16" s="427"/>
      <c r="F16" s="430"/>
      <c r="G16" s="427"/>
      <c r="H16" s="430"/>
      <c r="I16" s="30"/>
      <c r="K16" s="30"/>
    </row>
    <row r="17" spans="1:16" ht="15" customHeight="1" x14ac:dyDescent="0.25">
      <c r="A17" s="2" t="s">
        <v>169</v>
      </c>
      <c r="D17" s="30"/>
      <c r="F17" s="30"/>
      <c r="H17" s="30"/>
    </row>
    <row r="18" spans="1:16" ht="15" customHeight="1" x14ac:dyDescent="0.25">
      <c r="A18" s="43" t="s">
        <v>247</v>
      </c>
      <c r="D18" s="430">
        <f>'Utility Fund - analysis by dept'!AA22</f>
        <v>130031</v>
      </c>
      <c r="E18" s="427"/>
      <c r="F18" s="430">
        <f>'Utility Fund - analysis by dept'!AC22</f>
        <v>166201</v>
      </c>
      <c r="G18" s="430"/>
      <c r="H18" s="430">
        <f>'Utility Fund - analysis by dept'!AE22</f>
        <v>204350</v>
      </c>
      <c r="J18" s="167">
        <f>D18+'Sales Tax Funds'!N23</f>
        <v>302968</v>
      </c>
      <c r="L18" s="167">
        <f>F18+'Sales Tax Funds'!P23</f>
        <v>299250</v>
      </c>
      <c r="N18" s="167">
        <f>H18+'Sales Tax Funds'!R23</f>
        <v>374850</v>
      </c>
      <c r="P18" s="167">
        <f>N18-L18</f>
        <v>75600</v>
      </c>
    </row>
    <row r="19" spans="1:16" ht="15" customHeight="1" x14ac:dyDescent="0.25">
      <c r="A19" s="43" t="s">
        <v>490</v>
      </c>
      <c r="D19" s="439">
        <f>'Utility Fund - analysis by dept'!AA28</f>
        <v>0</v>
      </c>
      <c r="E19" s="427"/>
      <c r="F19" s="430">
        <f>'Utility Fund - analysis by dept'!AC28</f>
        <v>27588</v>
      </c>
      <c r="G19" s="430">
        <f>'Utility Fund - analysis by dept'!AD28</f>
        <v>0</v>
      </c>
      <c r="H19" s="430">
        <f>'Utility Fund - analysis by dept'!AE28</f>
        <v>27588</v>
      </c>
    </row>
    <row r="20" spans="1:16" ht="15" customHeight="1" x14ac:dyDescent="0.25">
      <c r="A20" s="43" t="s">
        <v>248</v>
      </c>
      <c r="D20" s="430">
        <f>'Utility Fund - analysis by dept'!AA23</f>
        <v>9992</v>
      </c>
      <c r="E20" s="427"/>
      <c r="F20" s="430">
        <f>'Utility Fund - analysis by dept'!AC23</f>
        <v>12445</v>
      </c>
      <c r="G20" s="427"/>
      <c r="H20" s="430">
        <f>'Utility Fund - analysis by dept'!AE23</f>
        <v>14600</v>
      </c>
    </row>
    <row r="21" spans="1:16" ht="15" customHeight="1" x14ac:dyDescent="0.25">
      <c r="A21" s="43" t="s">
        <v>249</v>
      </c>
      <c r="D21" s="430">
        <f>'Utility Fund - analysis by dept'!AA24</f>
        <v>23036</v>
      </c>
      <c r="E21" s="427"/>
      <c r="F21" s="430">
        <f>'Utility Fund - analysis by dept'!AC24</f>
        <v>32072</v>
      </c>
      <c r="G21" s="427"/>
      <c r="H21" s="430">
        <f>'Utility Fund - analysis by dept'!AE24</f>
        <v>38900</v>
      </c>
    </row>
    <row r="22" spans="1:16" ht="15" customHeight="1" x14ac:dyDescent="0.25">
      <c r="A22" s="43" t="s">
        <v>478</v>
      </c>
      <c r="D22" s="430">
        <f>'Utility Fund - analysis by dept'!AA25</f>
        <v>70046</v>
      </c>
      <c r="E22" s="427"/>
      <c r="F22" s="430">
        <f>'Utility Fund - analysis by dept'!AC25</f>
        <v>37935</v>
      </c>
      <c r="G22" s="430"/>
      <c r="H22" s="430">
        <f>'Utility Fund - analysis by dept'!AE25</f>
        <v>44000</v>
      </c>
      <c r="J22" s="1">
        <f>D22/D10</f>
        <v>0.26173679097227415</v>
      </c>
      <c r="L22" s="1">
        <f>F22/F10</f>
        <v>0.17583421014818557</v>
      </c>
    </row>
    <row r="23" spans="1:16" ht="15" customHeight="1" x14ac:dyDescent="0.25">
      <c r="A23" s="43" t="s">
        <v>479</v>
      </c>
      <c r="D23" s="430">
        <f>'Utility Fund - analysis by dept'!AA26</f>
        <v>120827</v>
      </c>
      <c r="E23" s="427"/>
      <c r="F23" s="435">
        <f>'Utility Fund - analysis by dept'!AC26</f>
        <v>187984</v>
      </c>
      <c r="G23" s="465"/>
      <c r="H23" s="435">
        <f>'Utility Fund - analysis by dept'!AE26</f>
        <v>156700</v>
      </c>
      <c r="J23" s="48"/>
      <c r="L23" s="48"/>
      <c r="N23" s="48"/>
    </row>
    <row r="24" spans="1:16" ht="15" customHeight="1" x14ac:dyDescent="0.25">
      <c r="A24" s="43" t="s">
        <v>480</v>
      </c>
      <c r="D24" s="430">
        <f>'Utility Fund - analysis by dept'!AA27</f>
        <v>142234</v>
      </c>
      <c r="E24" s="427"/>
      <c r="F24" s="435">
        <f>'Utility Fund - analysis by dept'!AC27</f>
        <v>86945</v>
      </c>
      <c r="G24" s="465"/>
      <c r="H24" s="435">
        <f>'Utility Fund - analysis by dept'!AE27</f>
        <v>98500</v>
      </c>
    </row>
    <row r="25" spans="1:16" ht="15" customHeight="1" x14ac:dyDescent="0.25">
      <c r="A25" s="43" t="s">
        <v>482</v>
      </c>
      <c r="D25" s="439">
        <v>0</v>
      </c>
      <c r="E25" s="427"/>
      <c r="F25" s="428">
        <f>'Utility Fund - analysis by dept'!AC29</f>
        <v>2705</v>
      </c>
      <c r="G25" s="427"/>
      <c r="H25" s="428">
        <f>'Utility Fund - analysis by dept'!AE29</f>
        <v>2700</v>
      </c>
    </row>
    <row r="26" spans="1:16" ht="15" customHeight="1" x14ac:dyDescent="0.25">
      <c r="A26" s="43" t="s">
        <v>483</v>
      </c>
      <c r="D26" s="439">
        <f>'Utility Fund - analysis by dept'!AA30</f>
        <v>0</v>
      </c>
      <c r="E26" s="427"/>
      <c r="F26" s="428">
        <f>'Utility Fund - analysis by dept'!AC30</f>
        <v>4402</v>
      </c>
      <c r="G26" s="427"/>
      <c r="H26" s="428">
        <f>'Utility Fund - analysis by dept'!AE30</f>
        <v>4400</v>
      </c>
      <c r="L26" s="48"/>
    </row>
    <row r="27" spans="1:16" ht="15" customHeight="1" x14ac:dyDescent="0.25">
      <c r="A27" s="43" t="s">
        <v>484</v>
      </c>
      <c r="D27" s="435">
        <f>'Utility Fund - analysis by dept'!AA31</f>
        <v>12915</v>
      </c>
      <c r="E27" s="427"/>
      <c r="F27" s="430">
        <f>'Utility Fund - analysis by dept'!AC31</f>
        <v>15031</v>
      </c>
      <c r="G27" s="427"/>
      <c r="H27" s="430">
        <f>'Utility Fund - analysis by dept'!AE31</f>
        <v>15000</v>
      </c>
    </row>
    <row r="28" spans="1:16" ht="15" customHeight="1" x14ac:dyDescent="0.25">
      <c r="A28" s="43" t="s">
        <v>257</v>
      </c>
      <c r="D28" s="435">
        <f>'Utility Fund - analysis by dept'!AA32</f>
        <v>64036</v>
      </c>
      <c r="E28" s="427"/>
      <c r="F28" s="430">
        <f>'Utility Fund - analysis by dept'!AC32</f>
        <v>61462</v>
      </c>
      <c r="G28" s="427"/>
      <c r="H28" s="430">
        <f>'Utility Fund - analysis by dept'!AE32</f>
        <v>61620</v>
      </c>
      <c r="N28" s="1" t="s">
        <v>19</v>
      </c>
    </row>
    <row r="29" spans="1:16" ht="15" customHeight="1" x14ac:dyDescent="0.25">
      <c r="A29" s="43" t="s">
        <v>255</v>
      </c>
      <c r="D29" s="435">
        <f>'Utility Fund - analysis by dept'!AA33</f>
        <v>25227</v>
      </c>
      <c r="E29" s="435"/>
      <c r="F29" s="435">
        <f>'Utility Fund - analysis by dept'!AC33</f>
        <v>37847</v>
      </c>
      <c r="G29" s="430"/>
      <c r="H29" s="430">
        <f>'Utility Fund - analysis by dept'!AE33</f>
        <v>32900</v>
      </c>
      <c r="J29" s="48"/>
    </row>
    <row r="30" spans="1:16" ht="15" customHeight="1" x14ac:dyDescent="0.25">
      <c r="A30" s="43" t="s">
        <v>485</v>
      </c>
      <c r="D30" s="435">
        <f>'Utility Fund - analysis by dept'!AA34</f>
        <v>12259</v>
      </c>
      <c r="E30" s="427"/>
      <c r="F30" s="430">
        <f>'Utility Fund - analysis by dept'!AC34</f>
        <v>27978</v>
      </c>
      <c r="G30" s="427"/>
      <c r="H30" s="430">
        <f>'Utility Fund - analysis by dept'!AE34</f>
        <v>20500</v>
      </c>
    </row>
    <row r="31" spans="1:16" ht="15" customHeight="1" x14ac:dyDescent="0.25">
      <c r="A31" s="43" t="s">
        <v>256</v>
      </c>
      <c r="D31" s="435">
        <f>'Utility Fund - analysis by dept'!AA35</f>
        <v>110359</v>
      </c>
      <c r="E31" s="427"/>
      <c r="F31" s="430">
        <f>'Utility Fund - analysis by dept'!AC35</f>
        <v>120704</v>
      </c>
      <c r="G31" s="430"/>
      <c r="H31" s="430">
        <f>'Utility Fund - analysis by dept'!AE35</f>
        <v>121100</v>
      </c>
    </row>
    <row r="32" spans="1:16" ht="15" customHeight="1" x14ac:dyDescent="0.25">
      <c r="A32" s="43" t="s">
        <v>465</v>
      </c>
      <c r="D32" s="435">
        <f>'Utility Fund - analysis by dept'!AA36</f>
        <v>13995</v>
      </c>
      <c r="E32" s="427"/>
      <c r="F32" s="430">
        <f>'Utility Fund - analysis by dept'!AC36</f>
        <v>20000</v>
      </c>
      <c r="G32" s="427"/>
      <c r="H32" s="430">
        <f>'Utility Fund - analysis by dept'!AE36</f>
        <v>18530</v>
      </c>
      <c r="J32" s="48"/>
    </row>
    <row r="33" spans="1:10" ht="15" customHeight="1" x14ac:dyDescent="0.25">
      <c r="A33" s="43" t="s">
        <v>254</v>
      </c>
      <c r="D33" s="435">
        <f>'Utility Fund - analysis by dept'!AA37</f>
        <v>6339</v>
      </c>
      <c r="E33" s="427"/>
      <c r="F33" s="430">
        <f>'Utility Fund - analysis by dept'!AC37</f>
        <v>6687</v>
      </c>
      <c r="G33" s="427"/>
      <c r="H33" s="430">
        <f>'Utility Fund - analysis by dept'!AE37</f>
        <v>6700</v>
      </c>
    </row>
    <row r="34" spans="1:10" ht="15" customHeight="1" x14ac:dyDescent="0.25">
      <c r="A34" s="43" t="s">
        <v>258</v>
      </c>
      <c r="D34" s="435">
        <f>'Utility Fund - analysis by dept'!AA38</f>
        <v>36967</v>
      </c>
      <c r="E34" s="427"/>
      <c r="F34" s="430">
        <f>'Utility Fund - analysis by dept'!AC38</f>
        <v>33230</v>
      </c>
      <c r="G34" s="427"/>
      <c r="H34" s="430">
        <f>'Utility Fund - analysis by dept'!AE38</f>
        <v>34100</v>
      </c>
    </row>
    <row r="35" spans="1:10" ht="15" customHeight="1" x14ac:dyDescent="0.25">
      <c r="A35" s="43" t="s">
        <v>491</v>
      </c>
      <c r="D35" s="435">
        <f>'Utility Fund - analysis by dept'!AA39</f>
        <v>20438</v>
      </c>
      <c r="E35" s="427"/>
      <c r="F35" s="435">
        <f>'Utility Fund - analysis by dept'!AC39</f>
        <v>7569</v>
      </c>
      <c r="G35" s="427"/>
      <c r="H35" s="430">
        <f>'Utility Fund - analysis by dept'!AE39</f>
        <v>1200</v>
      </c>
    </row>
    <row r="36" spans="1:10" ht="15" customHeight="1" x14ac:dyDescent="0.25">
      <c r="A36" s="43" t="s">
        <v>487</v>
      </c>
      <c r="D36" s="435">
        <f>'Utility Fund - analysis by dept'!AA40</f>
        <v>5448</v>
      </c>
      <c r="E36" s="427"/>
      <c r="F36" s="430">
        <f>'Utility Fund - analysis by dept'!AC40</f>
        <v>5000</v>
      </c>
      <c r="G36" s="430">
        <f>'Utility Fund - analysis by dept'!AD40</f>
        <v>0</v>
      </c>
      <c r="H36" s="430">
        <f>'Utility Fund - analysis by dept'!AE40</f>
        <v>5000</v>
      </c>
    </row>
    <row r="37" spans="1:10" ht="17.25" customHeight="1" x14ac:dyDescent="0.25">
      <c r="A37" s="43" t="s">
        <v>488</v>
      </c>
      <c r="D37" s="435">
        <f>'Utility Fund - analysis by dept'!AA41</f>
        <v>196742</v>
      </c>
      <c r="E37" s="511"/>
      <c r="F37" s="454">
        <f>'Utility Fund - analysis by dept'!AC41</f>
        <v>197000</v>
      </c>
      <c r="G37" s="511"/>
      <c r="H37" s="454">
        <f>+'Utility Fund - analysis by dept'!AE41</f>
        <v>197000</v>
      </c>
    </row>
    <row r="38" spans="1:10" s="368" customFormat="1" ht="17.25" customHeight="1" x14ac:dyDescent="0.4">
      <c r="A38" s="43" t="s">
        <v>492</v>
      </c>
      <c r="D38" s="419">
        <f>'Utility Fund - analysis by dept'!AA42</f>
        <v>0</v>
      </c>
      <c r="E38" s="511"/>
      <c r="F38" s="419">
        <f>'Utility Fund - analysis by dept'!AC42</f>
        <v>0</v>
      </c>
      <c r="G38" s="511"/>
      <c r="H38" s="419">
        <f>'Utility Fund - analysis by dept'!AE42</f>
        <v>0</v>
      </c>
    </row>
    <row r="39" spans="1:10" ht="17.25" customHeight="1" x14ac:dyDescent="0.4">
      <c r="A39" s="43" t="s">
        <v>493</v>
      </c>
      <c r="D39" s="431">
        <f>SUM(D18:D38)</f>
        <v>1000891</v>
      </c>
      <c r="E39" s="511"/>
      <c r="F39" s="431">
        <f>SUM(F18:F38)</f>
        <v>1090785</v>
      </c>
      <c r="G39" s="511"/>
      <c r="H39" s="431">
        <f>SUM(H18:H38)</f>
        <v>1105388</v>
      </c>
      <c r="J39" s="48"/>
    </row>
    <row r="40" spans="1:10" ht="9.9499999999999993" customHeight="1" x14ac:dyDescent="0.25">
      <c r="D40" s="454"/>
      <c r="E40" s="511"/>
      <c r="F40" s="454"/>
      <c r="G40" s="511"/>
      <c r="H40" s="454"/>
    </row>
    <row r="41" spans="1:10" ht="17.25" customHeight="1" x14ac:dyDescent="0.4">
      <c r="A41" s="43" t="s">
        <v>567</v>
      </c>
      <c r="D41" s="431">
        <f>D15-D39</f>
        <v>96193</v>
      </c>
      <c r="E41" s="511"/>
      <c r="F41" s="431">
        <f>F15-F39</f>
        <v>15484</v>
      </c>
      <c r="G41" s="511"/>
      <c r="H41" s="431">
        <f>H15-H39</f>
        <v>18012</v>
      </c>
      <c r="J41" s="48">
        <f>F41-'Utility Fund - analysis by dept'!AC45</f>
        <v>0</v>
      </c>
    </row>
    <row r="42" spans="1:10" ht="9.9499999999999993" customHeight="1" x14ac:dyDescent="0.25">
      <c r="D42" s="30"/>
      <c r="F42" s="30"/>
      <c r="H42" s="30"/>
    </row>
    <row r="43" spans="1:10" ht="15" customHeight="1" x14ac:dyDescent="0.25">
      <c r="A43" s="2" t="s">
        <v>15</v>
      </c>
      <c r="D43" s="30"/>
      <c r="F43" s="30"/>
      <c r="H43" s="30"/>
    </row>
    <row r="44" spans="1:10" s="368" customFormat="1" ht="15" customHeight="1" x14ac:dyDescent="0.25">
      <c r="A44" s="43" t="s">
        <v>544</v>
      </c>
      <c r="D44" s="385">
        <v>12743</v>
      </c>
      <c r="F44" s="379">
        <v>5557</v>
      </c>
      <c r="H44" s="540">
        <v>0</v>
      </c>
    </row>
    <row r="45" spans="1:10" ht="15" customHeight="1" x14ac:dyDescent="0.25">
      <c r="A45" s="1" t="s">
        <v>202</v>
      </c>
      <c r="D45" s="385">
        <v>713</v>
      </c>
      <c r="F45" s="540">
        <v>0</v>
      </c>
      <c r="G45" s="387"/>
      <c r="H45" s="541">
        <v>0</v>
      </c>
      <c r="J45" s="4"/>
    </row>
    <row r="46" spans="1:10" s="368" customFormat="1" ht="15" customHeight="1" x14ac:dyDescent="0.25">
      <c r="A46" s="43" t="s">
        <v>507</v>
      </c>
      <c r="D46" s="385">
        <v>998</v>
      </c>
      <c r="F46" s="540">
        <v>0</v>
      </c>
      <c r="G46" s="314"/>
      <c r="H46" s="540">
        <v>0</v>
      </c>
      <c r="J46" s="4"/>
    </row>
    <row r="47" spans="1:10" s="368" customFormat="1" ht="15" customHeight="1" x14ac:dyDescent="0.25">
      <c r="A47" s="368" t="s">
        <v>375</v>
      </c>
      <c r="D47" s="385">
        <v>-15936</v>
      </c>
      <c r="F47" s="385">
        <f>-14186-4814</f>
        <v>-19000</v>
      </c>
      <c r="G47" s="387"/>
      <c r="H47" s="541">
        <f>-12355-3455</f>
        <v>-15810</v>
      </c>
      <c r="J47" s="4"/>
    </row>
    <row r="48" spans="1:10" s="368" customFormat="1" ht="15" customHeight="1" x14ac:dyDescent="0.25">
      <c r="A48" s="43" t="s">
        <v>545</v>
      </c>
      <c r="D48" s="385">
        <v>3903</v>
      </c>
      <c r="F48" s="540">
        <v>0</v>
      </c>
      <c r="G48" s="387"/>
      <c r="H48" s="541">
        <v>0</v>
      </c>
      <c r="J48" s="4"/>
    </row>
    <row r="49" spans="1:10" ht="17.25" customHeight="1" x14ac:dyDescent="0.4">
      <c r="A49" s="43" t="s">
        <v>513</v>
      </c>
      <c r="B49" s="368"/>
      <c r="C49" s="368"/>
      <c r="D49" s="365">
        <v>-550</v>
      </c>
      <c r="E49" s="135"/>
      <c r="F49" s="365">
        <v>-550</v>
      </c>
      <c r="G49" s="303"/>
      <c r="H49" s="542">
        <v>-550</v>
      </c>
      <c r="J49" s="4"/>
    </row>
    <row r="50" spans="1:10" ht="17.25" customHeight="1" x14ac:dyDescent="0.4">
      <c r="A50" s="1" t="s">
        <v>183</v>
      </c>
      <c r="D50" s="431">
        <f>SUM(D44:D49)</f>
        <v>1871</v>
      </c>
      <c r="F50" s="431">
        <f>SUM(F44:F49)</f>
        <v>-13993</v>
      </c>
      <c r="G50" s="427"/>
      <c r="H50" s="431">
        <f>SUM(H45:H49)</f>
        <v>-16360</v>
      </c>
      <c r="J50" s="48"/>
    </row>
    <row r="51" spans="1:10" ht="9.9499999999999993" customHeight="1" x14ac:dyDescent="0.25">
      <c r="D51" s="30"/>
      <c r="F51" s="430"/>
      <c r="G51" s="427"/>
      <c r="H51" s="430"/>
    </row>
    <row r="52" spans="1:10" ht="17.25" customHeight="1" x14ac:dyDescent="0.4">
      <c r="A52" s="1" t="s">
        <v>566</v>
      </c>
      <c r="D52" s="431">
        <f>D41+D50</f>
        <v>98064</v>
      </c>
      <c r="E52" s="135"/>
      <c r="F52" s="431">
        <f>F41+F50</f>
        <v>1491</v>
      </c>
      <c r="G52" s="442"/>
      <c r="H52" s="431">
        <f>H41+H50</f>
        <v>1652</v>
      </c>
      <c r="J52" s="318"/>
    </row>
    <row r="53" spans="1:10" ht="9.9499999999999993" customHeight="1" x14ac:dyDescent="0.25">
      <c r="A53" s="1" t="s">
        <v>184</v>
      </c>
      <c r="D53" s="30"/>
      <c r="F53" s="30"/>
      <c r="H53" s="35"/>
    </row>
    <row r="54" spans="1:10" ht="15" customHeight="1" x14ac:dyDescent="0.25">
      <c r="A54" s="2" t="s">
        <v>211</v>
      </c>
      <c r="D54" s="30"/>
      <c r="F54" s="30"/>
      <c r="H54" s="30"/>
    </row>
    <row r="55" spans="1:10" ht="15" customHeight="1" x14ac:dyDescent="0.25">
      <c r="A55" s="1" t="s">
        <v>324</v>
      </c>
      <c r="D55" s="255">
        <v>330000</v>
      </c>
      <c r="F55" s="453">
        <f>-'Sales Tax Funds'!P48</f>
        <v>280000</v>
      </c>
      <c r="G55" s="453"/>
      <c r="H55" s="453">
        <f>-'Sales Tax Funds'!F48</f>
        <v>230000</v>
      </c>
    </row>
    <row r="56" spans="1:10" ht="17.25" customHeight="1" x14ac:dyDescent="0.4">
      <c r="A56" s="1" t="s">
        <v>325</v>
      </c>
      <c r="D56" s="380">
        <v>-192602</v>
      </c>
      <c r="E56" s="135"/>
      <c r="F56" s="431">
        <f>-'General Fund'!E30</f>
        <v>-250000</v>
      </c>
      <c r="G56" s="442"/>
      <c r="H56" s="432">
        <f>-'General Fund'!G30</f>
        <v>-200000</v>
      </c>
    </row>
    <row r="57" spans="1:10" ht="17.25" customHeight="1" x14ac:dyDescent="0.4">
      <c r="A57" s="1" t="s">
        <v>425</v>
      </c>
      <c r="D57" s="431">
        <f>SUM(D55:D56)</f>
        <v>137398</v>
      </c>
      <c r="E57" s="427"/>
      <c r="F57" s="431">
        <f>SUM(F55:F56)</f>
        <v>30000</v>
      </c>
      <c r="G57" s="510"/>
      <c r="H57" s="431">
        <f>SUM(H55:H56)</f>
        <v>30000</v>
      </c>
    </row>
    <row r="58" spans="1:10" ht="9.9499999999999993" customHeight="1" x14ac:dyDescent="0.25"/>
    <row r="59" spans="1:10" s="75" customFormat="1" ht="15" customHeight="1" x14ac:dyDescent="0.25">
      <c r="A59" s="75" t="s">
        <v>568</v>
      </c>
      <c r="D59" s="435">
        <f>D52+D57</f>
        <v>235462</v>
      </c>
      <c r="F59" s="435">
        <f>F52+F57</f>
        <v>31491</v>
      </c>
      <c r="G59" s="465"/>
      <c r="H59" s="435">
        <f>H52+H57</f>
        <v>31652</v>
      </c>
    </row>
    <row r="60" spans="1:10" s="75" customFormat="1" ht="15" customHeight="1" x14ac:dyDescent="0.25">
      <c r="D60" s="435"/>
      <c r="F60" s="435"/>
      <c r="G60" s="465"/>
      <c r="H60" s="435"/>
    </row>
    <row r="61" spans="1:10" s="75" customFormat="1" ht="15" customHeight="1" x14ac:dyDescent="0.4">
      <c r="A61" s="75" t="s">
        <v>546</v>
      </c>
      <c r="D61" s="573">
        <v>91865</v>
      </c>
      <c r="F61" s="419">
        <v>0</v>
      </c>
      <c r="G61" s="465"/>
      <c r="H61" s="419">
        <v>0</v>
      </c>
    </row>
    <row r="62" spans="1:10" s="75" customFormat="1" ht="15" customHeight="1" x14ac:dyDescent="0.25">
      <c r="D62" s="435"/>
      <c r="F62" s="435"/>
      <c r="G62" s="465"/>
      <c r="H62" s="435"/>
    </row>
    <row r="63" spans="1:10" s="75" customFormat="1" ht="15" customHeight="1" x14ac:dyDescent="0.25">
      <c r="A63" s="75" t="s">
        <v>569</v>
      </c>
      <c r="D63" s="435">
        <f>SUM(D59:D61)</f>
        <v>327327</v>
      </c>
      <c r="F63" s="435">
        <f>SUM(F59:F61)</f>
        <v>31491</v>
      </c>
      <c r="G63" s="465"/>
      <c r="H63" s="435">
        <f>SUM(H59:H61)</f>
        <v>31652</v>
      </c>
    </row>
    <row r="64" spans="1:10" s="75" customFormat="1" ht="9.9499999999999993" customHeight="1" x14ac:dyDescent="0.25">
      <c r="D64" s="385"/>
      <c r="F64" s="435"/>
      <c r="G64" s="465"/>
      <c r="H64" s="435"/>
    </row>
    <row r="65" spans="1:8" s="75" customFormat="1" ht="17.25" customHeight="1" x14ac:dyDescent="0.4">
      <c r="A65" s="117" t="s">
        <v>274</v>
      </c>
      <c r="D65" s="386">
        <v>3804454</v>
      </c>
      <c r="F65" s="432">
        <f>D67</f>
        <v>4131781</v>
      </c>
      <c r="G65" s="465"/>
      <c r="H65" s="432">
        <f>F67</f>
        <v>4163272</v>
      </c>
    </row>
    <row r="66" spans="1:8" ht="9.9499999999999993" customHeight="1" x14ac:dyDescent="0.25">
      <c r="F66" s="428"/>
      <c r="G66" s="427"/>
      <c r="H66" s="428"/>
    </row>
    <row r="67" spans="1:8" ht="17.25" customHeight="1" x14ac:dyDescent="0.4">
      <c r="A67" s="2" t="s">
        <v>275</v>
      </c>
      <c r="D67" s="436">
        <f>SUM(D63:D65)</f>
        <v>4131781</v>
      </c>
      <c r="E67" s="3"/>
      <c r="F67" s="436">
        <f>SUM(F63:F65)</f>
        <v>4163272</v>
      </c>
      <c r="G67" s="452"/>
      <c r="H67" s="436">
        <f>SUM(H63:H65)</f>
        <v>4194924</v>
      </c>
    </row>
    <row r="68" spans="1:8" x14ac:dyDescent="0.25">
      <c r="F68" s="30"/>
      <c r="H68" s="30"/>
    </row>
    <row r="69" spans="1:8" x14ac:dyDescent="0.25">
      <c r="F69" s="30"/>
      <c r="H69" s="30"/>
    </row>
    <row r="70" spans="1:8" x14ac:dyDescent="0.25">
      <c r="F70" s="30"/>
      <c r="H70" s="30"/>
    </row>
    <row r="71" spans="1:8" x14ac:dyDescent="0.25">
      <c r="A71" s="1" t="s">
        <v>19</v>
      </c>
      <c r="F71" s="30"/>
      <c r="H71" s="30"/>
    </row>
    <row r="84" spans="22:26" x14ac:dyDescent="0.25">
      <c r="V84" s="3"/>
      <c r="W84" s="3"/>
      <c r="X84" s="3"/>
      <c r="Y84" s="3"/>
      <c r="Z84" s="3"/>
    </row>
    <row r="112" spans="22:26" x14ac:dyDescent="0.25">
      <c r="V112" s="3"/>
      <c r="W112" s="3"/>
      <c r="X112" s="3"/>
      <c r="Y112" s="3"/>
      <c r="Z112" s="3"/>
    </row>
  </sheetData>
  <mergeCells count="4">
    <mergeCell ref="A4:H4"/>
    <mergeCell ref="A3:H3"/>
    <mergeCell ref="A2:H2"/>
    <mergeCell ref="D6:H6"/>
  </mergeCells>
  <phoneticPr fontId="0" type="noConversion"/>
  <pageMargins left="1" right="1" top="0.5" bottom="0.25" header="0.25" footer="0"/>
  <pageSetup scale="76" orientation="portrait" r:id="rId1"/>
  <headerFooter alignWithMargins="0">
    <oddFooter>&amp;L&amp;"Times New Roman,Regular"&amp;9&amp;D &amp;C&amp;"Times New Roman,Regular"&amp;9&amp;Z&amp;F&amp;R&amp;"Times New Roman,Regular"&amp;9&amp;A</oddFooter>
  </headerFooter>
  <rowBreaks count="1" manualBreakCount="1">
    <brk id="67" max="7"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4"/>
  <dimension ref="A1:AK58"/>
  <sheetViews>
    <sheetView view="pageBreakPreview" topLeftCell="A25" zoomScaleNormal="100" zoomScaleSheetLayoutView="100" workbookViewId="0">
      <selection activeCell="O47" sqref="O47"/>
    </sheetView>
  </sheetViews>
  <sheetFormatPr defaultColWidth="9.77734375" defaultRowHeight="15.75" x14ac:dyDescent="0.25"/>
  <cols>
    <col min="1" max="1" width="12.88671875" style="75" customWidth="1"/>
    <col min="2" max="2" width="12.109375" style="83" customWidth="1"/>
    <col min="3" max="3" width="8.77734375" style="319" customWidth="1"/>
    <col min="4" max="4" width="0.44140625" style="75" customWidth="1"/>
    <col min="5" max="5" width="9.109375" style="319" customWidth="1"/>
    <col min="6" max="6" width="0.5546875" style="75" customWidth="1"/>
    <col min="7" max="7" width="8.77734375" style="319" customWidth="1"/>
    <col min="8" max="8" width="0.44140625" style="75" customWidth="1"/>
    <col min="9" max="9" width="8.77734375" style="319" customWidth="1"/>
    <col min="10" max="10" width="0.44140625" style="75" customWidth="1"/>
    <col min="11" max="11" width="8.77734375" style="319" customWidth="1"/>
    <col min="12" max="12" width="1" style="75" customWidth="1"/>
    <col min="13" max="13" width="8.77734375" style="319" customWidth="1"/>
    <col min="14" max="14" width="0.5546875" style="75" customWidth="1"/>
    <col min="15" max="15" width="9.21875" style="319" customWidth="1"/>
    <col min="16" max="16" width="0.33203125" style="75" customWidth="1"/>
    <col min="17" max="17" width="8.77734375" style="319" customWidth="1"/>
    <col min="18" max="18" width="0.33203125" style="75" customWidth="1"/>
    <col min="19" max="19" width="8.77734375" style="319" customWidth="1"/>
    <col min="20" max="20" width="0.5546875" style="75" customWidth="1"/>
    <col min="21" max="21" width="10.21875" style="319" customWidth="1"/>
    <col min="22" max="22" width="1.109375" style="75" customWidth="1"/>
    <col min="23" max="23" width="9.77734375" style="224" customWidth="1"/>
    <col min="24" max="24" width="0.5546875" style="75" customWidth="1"/>
    <col min="25" max="25" width="10.21875" style="319" customWidth="1"/>
    <col min="26" max="26" width="0.21875" style="75" customWidth="1"/>
    <col min="27" max="27" width="11.21875" style="319" bestFit="1" customWidth="1"/>
    <col min="28" max="28" width="0.44140625" style="75" customWidth="1"/>
    <col min="29" max="29" width="11.109375" style="319" customWidth="1"/>
    <col min="30" max="30" width="0.44140625" style="75" customWidth="1"/>
    <col min="31" max="31" width="11.88671875" style="319" customWidth="1"/>
    <col min="32" max="32" width="0.44140625" style="75" customWidth="1"/>
    <col min="33" max="33" width="7.77734375" style="75" bestFit="1" customWidth="1"/>
    <col min="34" max="16384" width="9.77734375" style="75"/>
  </cols>
  <sheetData>
    <row r="1" spans="1:33" x14ac:dyDescent="0.25">
      <c r="A1" s="522"/>
      <c r="B1" s="523"/>
      <c r="C1" s="522"/>
      <c r="D1" s="522"/>
      <c r="E1" s="522"/>
      <c r="F1" s="522"/>
      <c r="G1" s="522"/>
      <c r="H1" s="522"/>
      <c r="I1" s="522"/>
      <c r="J1" s="522"/>
      <c r="K1" s="522"/>
      <c r="L1" s="522"/>
      <c r="M1" s="522"/>
      <c r="N1" s="522"/>
      <c r="O1" s="522"/>
      <c r="P1" s="522"/>
      <c r="Q1" s="522"/>
      <c r="R1" s="522"/>
      <c r="S1" s="522"/>
      <c r="T1" s="522"/>
      <c r="U1" s="522"/>
      <c r="V1" s="522"/>
      <c r="W1" s="575"/>
      <c r="X1" s="522"/>
      <c r="Y1" s="522"/>
      <c r="Z1" s="522"/>
      <c r="AA1" s="522"/>
      <c r="AB1" s="522"/>
      <c r="AC1" s="522"/>
      <c r="AD1" s="110"/>
      <c r="AE1" s="111"/>
      <c r="AG1" s="110" t="s">
        <v>343</v>
      </c>
    </row>
    <row r="2" spans="1:33" x14ac:dyDescent="0.25">
      <c r="A2" s="522" t="s">
        <v>45</v>
      </c>
      <c r="B2" s="523"/>
      <c r="C2" s="522"/>
      <c r="D2" s="522"/>
      <c r="E2" s="522"/>
      <c r="F2" s="522"/>
      <c r="G2" s="522"/>
      <c r="H2" s="522"/>
      <c r="I2" s="522"/>
      <c r="J2" s="522"/>
      <c r="K2" s="522"/>
      <c r="L2" s="522"/>
      <c r="M2" s="522"/>
      <c r="N2" s="522"/>
      <c r="O2" s="522"/>
      <c r="P2" s="522"/>
      <c r="Q2" s="522"/>
      <c r="R2" s="522"/>
      <c r="S2" s="522"/>
      <c r="T2" s="522"/>
      <c r="U2" s="522"/>
      <c r="V2" s="522"/>
      <c r="W2" s="575"/>
      <c r="X2" s="522"/>
      <c r="Y2" s="522"/>
      <c r="Z2" s="522"/>
      <c r="AA2" s="522"/>
      <c r="AB2" s="522"/>
      <c r="AC2" s="522"/>
      <c r="AD2" s="110"/>
      <c r="AE2" s="111"/>
    </row>
    <row r="3" spans="1:33" x14ac:dyDescent="0.25">
      <c r="A3" s="110" t="s">
        <v>225</v>
      </c>
      <c r="B3" s="119"/>
      <c r="C3" s="110"/>
      <c r="D3" s="110"/>
      <c r="E3" s="110"/>
      <c r="F3" s="110"/>
      <c r="G3" s="110"/>
      <c r="H3" s="110"/>
      <c r="I3" s="110"/>
      <c r="J3" s="110"/>
      <c r="K3" s="110"/>
      <c r="L3" s="110"/>
      <c r="M3" s="110"/>
      <c r="N3" s="110"/>
      <c r="O3" s="110"/>
      <c r="P3" s="110"/>
      <c r="Q3" s="110"/>
      <c r="R3" s="110"/>
      <c r="S3" s="110"/>
      <c r="T3" s="110"/>
      <c r="U3" s="110"/>
      <c r="V3" s="110"/>
      <c r="W3" s="576"/>
      <c r="X3" s="110"/>
      <c r="Y3" s="110"/>
      <c r="Z3" s="110"/>
      <c r="AA3" s="110"/>
      <c r="AB3" s="110"/>
      <c r="AC3" s="110"/>
      <c r="AD3" s="110"/>
      <c r="AE3" s="111"/>
    </row>
    <row r="4" spans="1:33" x14ac:dyDescent="0.25">
      <c r="A4" s="522" t="s">
        <v>224</v>
      </c>
      <c r="B4" s="523"/>
      <c r="C4" s="522"/>
      <c r="D4" s="522"/>
      <c r="E4" s="522"/>
      <c r="F4" s="522"/>
      <c r="G4" s="522"/>
      <c r="H4" s="522"/>
      <c r="I4" s="522"/>
      <c r="J4" s="522"/>
      <c r="K4" s="522"/>
      <c r="L4" s="522"/>
      <c r="M4" s="522"/>
      <c r="N4" s="522"/>
      <c r="O4" s="522"/>
      <c r="P4" s="522"/>
      <c r="Q4" s="522"/>
      <c r="R4" s="522"/>
      <c r="S4" s="522"/>
      <c r="T4" s="522"/>
      <c r="U4" s="522"/>
      <c r="V4" s="522"/>
      <c r="W4" s="575"/>
      <c r="X4" s="522"/>
      <c r="Y4" s="522"/>
      <c r="Z4" s="522"/>
      <c r="AA4" s="522"/>
      <c r="AB4" s="522"/>
      <c r="AC4" s="522"/>
      <c r="AD4" s="110"/>
      <c r="AE4" s="111"/>
    </row>
    <row r="5" spans="1:33" x14ac:dyDescent="0.25">
      <c r="A5" s="522" t="str">
        <f>'General Fund'!A4:F4</f>
        <v>Year Ending September 30, 2021</v>
      </c>
      <c r="B5" s="523"/>
      <c r="C5" s="522"/>
      <c r="D5" s="522"/>
      <c r="E5" s="522"/>
      <c r="F5" s="522"/>
      <c r="G5" s="522"/>
      <c r="H5" s="522"/>
      <c r="I5" s="522"/>
      <c r="J5" s="522"/>
      <c r="K5" s="522"/>
      <c r="L5" s="522"/>
      <c r="M5" s="522"/>
      <c r="N5" s="522"/>
      <c r="O5" s="522"/>
      <c r="P5" s="522"/>
      <c r="Q5" s="522"/>
      <c r="R5" s="522"/>
      <c r="S5" s="522"/>
      <c r="T5" s="522"/>
      <c r="U5" s="522"/>
      <c r="V5" s="522"/>
      <c r="W5" s="575"/>
      <c r="X5" s="522"/>
      <c r="Y5" s="522"/>
      <c r="Z5" s="522"/>
      <c r="AA5" s="522"/>
      <c r="AB5" s="522"/>
      <c r="AC5" s="522"/>
      <c r="AD5" s="110"/>
      <c r="AE5" s="111"/>
    </row>
    <row r="6" spans="1:33" x14ac:dyDescent="0.25">
      <c r="A6" s="522"/>
      <c r="B6" s="523"/>
      <c r="C6" s="522"/>
      <c r="D6" s="522"/>
      <c r="E6" s="524"/>
      <c r="F6" s="522"/>
      <c r="G6" s="522"/>
      <c r="H6" s="522"/>
      <c r="I6" s="522"/>
      <c r="J6" s="522"/>
      <c r="K6" s="522"/>
      <c r="L6" s="522"/>
      <c r="M6" s="522"/>
      <c r="N6" s="522"/>
      <c r="O6" s="522"/>
      <c r="P6" s="522"/>
      <c r="Q6" s="522"/>
      <c r="R6" s="522"/>
      <c r="S6" s="522"/>
      <c r="T6" s="522"/>
      <c r="U6" s="522"/>
      <c r="V6" s="522"/>
      <c r="W6" s="575"/>
      <c r="X6" s="522"/>
      <c r="Y6" s="522"/>
      <c r="Z6" s="522"/>
      <c r="AA6" s="522"/>
      <c r="AB6" s="522"/>
      <c r="AC6" s="522"/>
      <c r="AD6" s="110"/>
      <c r="AE6" s="111"/>
    </row>
    <row r="7" spans="1:33" x14ac:dyDescent="0.25">
      <c r="A7" s="522"/>
      <c r="B7" s="525"/>
      <c r="C7" s="522"/>
      <c r="D7" s="522"/>
      <c r="E7" s="590"/>
      <c r="F7" s="522"/>
      <c r="G7" s="590"/>
      <c r="H7" s="522"/>
      <c r="I7" s="522"/>
      <c r="J7" s="522"/>
      <c r="K7" s="522"/>
      <c r="L7" s="522"/>
      <c r="M7" s="522"/>
      <c r="N7" s="522"/>
      <c r="O7" s="522"/>
      <c r="P7" s="522"/>
      <c r="Q7" s="522"/>
      <c r="R7" s="522"/>
      <c r="S7" s="522"/>
      <c r="T7" s="522"/>
      <c r="U7" s="522"/>
      <c r="V7" s="522"/>
      <c r="W7" s="575"/>
      <c r="X7" s="522"/>
      <c r="Y7" s="522"/>
      <c r="Z7" s="522"/>
      <c r="AA7" s="522"/>
      <c r="AB7" s="522"/>
      <c r="AC7" s="522"/>
      <c r="AD7" s="110"/>
      <c r="AE7" s="111"/>
    </row>
    <row r="8" spans="1:33" ht="18.75" x14ac:dyDescent="0.3">
      <c r="A8" s="75" t="s">
        <v>19</v>
      </c>
      <c r="B8" s="526"/>
      <c r="C8" s="113"/>
      <c r="D8" s="527" t="s">
        <v>185</v>
      </c>
      <c r="E8" s="113"/>
      <c r="F8" s="527"/>
      <c r="G8" s="113"/>
      <c r="H8" s="77"/>
      <c r="I8" s="113"/>
      <c r="J8" s="528" t="s">
        <v>186</v>
      </c>
      <c r="K8" s="112"/>
      <c r="L8" s="527"/>
      <c r="M8" s="113"/>
      <c r="N8" s="77"/>
      <c r="O8" s="113"/>
      <c r="P8" s="527" t="s">
        <v>187</v>
      </c>
      <c r="Q8" s="113"/>
      <c r="R8" s="527"/>
      <c r="S8" s="113"/>
      <c r="T8" s="77"/>
      <c r="U8" s="113"/>
      <c r="V8" s="527"/>
      <c r="W8" s="577" t="s">
        <v>457</v>
      </c>
      <c r="X8" s="527"/>
      <c r="Y8" s="113"/>
      <c r="Z8" s="77"/>
      <c r="AA8" s="529"/>
      <c r="AB8" s="530" t="s">
        <v>188</v>
      </c>
      <c r="AC8" s="529"/>
      <c r="AD8" s="530"/>
      <c r="AE8" s="529"/>
    </row>
    <row r="9" spans="1:33" x14ac:dyDescent="0.25">
      <c r="B9" s="531"/>
      <c r="H9" s="77"/>
      <c r="I9" s="385"/>
      <c r="K9" s="78" t="s">
        <v>19</v>
      </c>
      <c r="N9" s="77"/>
      <c r="Q9" s="78" t="s">
        <v>19</v>
      </c>
      <c r="T9" s="77"/>
      <c r="W9" s="578" t="s">
        <v>19</v>
      </c>
      <c r="Z9" s="77"/>
      <c r="AC9" s="78" t="s">
        <v>19</v>
      </c>
    </row>
    <row r="10" spans="1:33" x14ac:dyDescent="0.25">
      <c r="C10" s="79">
        <v>2019</v>
      </c>
      <c r="D10" s="80"/>
      <c r="E10" s="79">
        <f>C10+1</f>
        <v>2020</v>
      </c>
      <c r="F10" s="80"/>
      <c r="G10" s="79">
        <f>E10+1</f>
        <v>2021</v>
      </c>
      <c r="H10" s="136"/>
      <c r="I10" s="79">
        <f>C10</f>
        <v>2019</v>
      </c>
      <c r="J10" s="80"/>
      <c r="K10" s="79">
        <f>E10</f>
        <v>2020</v>
      </c>
      <c r="L10" s="80"/>
      <c r="M10" s="79">
        <f>G10</f>
        <v>2021</v>
      </c>
      <c r="N10" s="136"/>
      <c r="O10" s="79">
        <f>I10</f>
        <v>2019</v>
      </c>
      <c r="P10" s="80"/>
      <c r="Q10" s="79">
        <f>K10</f>
        <v>2020</v>
      </c>
      <c r="R10" s="80"/>
      <c r="S10" s="79">
        <f>M10</f>
        <v>2021</v>
      </c>
      <c r="T10" s="136"/>
      <c r="U10" s="79">
        <f>O10</f>
        <v>2019</v>
      </c>
      <c r="V10" s="80"/>
      <c r="W10" s="579">
        <f>Q10</f>
        <v>2020</v>
      </c>
      <c r="X10" s="80"/>
      <c r="Y10" s="79">
        <f>S10</f>
        <v>2021</v>
      </c>
      <c r="Z10" s="136"/>
      <c r="AA10" s="79">
        <f>U10</f>
        <v>2019</v>
      </c>
      <c r="AB10" s="80"/>
      <c r="AC10" s="79">
        <f>W10</f>
        <v>2020</v>
      </c>
      <c r="AD10" s="80"/>
      <c r="AE10" s="79">
        <f>Y10</f>
        <v>2021</v>
      </c>
    </row>
    <row r="11" spans="1:33" ht="18" x14ac:dyDescent="0.4">
      <c r="C11" s="81" t="s">
        <v>81</v>
      </c>
      <c r="E11" s="81" t="s">
        <v>82</v>
      </c>
      <c r="G11" s="81" t="s">
        <v>83</v>
      </c>
      <c r="H11" s="82"/>
      <c r="I11" s="81" t="s">
        <v>81</v>
      </c>
      <c r="J11" s="83"/>
      <c r="K11" s="81" t="s">
        <v>82</v>
      </c>
      <c r="L11" s="83"/>
      <c r="M11" s="81" t="s">
        <v>83</v>
      </c>
      <c r="N11" s="82"/>
      <c r="O11" s="81" t="s">
        <v>81</v>
      </c>
      <c r="P11" s="83"/>
      <c r="Q11" s="81" t="s">
        <v>82</v>
      </c>
      <c r="R11" s="83"/>
      <c r="S11" s="81" t="s">
        <v>83</v>
      </c>
      <c r="T11" s="82"/>
      <c r="U11" s="81" t="s">
        <v>81</v>
      </c>
      <c r="V11" s="83"/>
      <c r="W11" s="580" t="s">
        <v>82</v>
      </c>
      <c r="X11" s="83"/>
      <c r="Y11" s="81" t="s">
        <v>83</v>
      </c>
      <c r="Z11" s="82"/>
      <c r="AA11" s="81" t="s">
        <v>81</v>
      </c>
      <c r="AB11" s="83"/>
      <c r="AC11" s="81" t="s">
        <v>82</v>
      </c>
      <c r="AD11" s="83"/>
      <c r="AE11" s="81" t="s">
        <v>83</v>
      </c>
    </row>
    <row r="12" spans="1:33" x14ac:dyDescent="0.25">
      <c r="E12" s="443"/>
      <c r="H12" s="77"/>
      <c r="I12" s="385"/>
      <c r="K12" s="435"/>
      <c r="N12" s="77"/>
      <c r="T12" s="77"/>
      <c r="W12" s="499"/>
      <c r="Z12" s="77"/>
    </row>
    <row r="13" spans="1:33" x14ac:dyDescent="0.25">
      <c r="A13" s="117" t="s">
        <v>0</v>
      </c>
      <c r="E13" s="443"/>
      <c r="H13" s="77"/>
      <c r="I13" s="385"/>
      <c r="K13" s="435"/>
      <c r="N13" s="77"/>
      <c r="T13" s="77"/>
      <c r="W13" s="499"/>
      <c r="Z13" s="77"/>
    </row>
    <row r="14" spans="1:33" x14ac:dyDescent="0.25">
      <c r="A14" s="75" t="s">
        <v>189</v>
      </c>
      <c r="E14" s="443"/>
      <c r="H14" s="77"/>
      <c r="I14" s="385"/>
      <c r="K14" s="435"/>
      <c r="N14" s="77"/>
      <c r="T14" s="77"/>
      <c r="W14" s="499"/>
      <c r="Z14" s="77"/>
      <c r="AC14" s="443"/>
    </row>
    <row r="15" spans="1:33" x14ac:dyDescent="0.25">
      <c r="A15" s="75" t="s">
        <v>190</v>
      </c>
      <c r="C15" s="382">
        <v>267620</v>
      </c>
      <c r="D15" s="85"/>
      <c r="E15" s="437">
        <f>'Estimating Schedule - UF'!H15</f>
        <v>215743</v>
      </c>
      <c r="G15" s="513">
        <f>215700+10000</f>
        <v>225700</v>
      </c>
      <c r="H15" s="86"/>
      <c r="I15" s="382">
        <v>521587</v>
      </c>
      <c r="J15" s="85"/>
      <c r="K15" s="437">
        <f>'Estimating Schedule - UF'!N15</f>
        <v>548765</v>
      </c>
      <c r="M15" s="382">
        <v>548700</v>
      </c>
      <c r="N15" s="86"/>
      <c r="O15" s="382">
        <v>275855</v>
      </c>
      <c r="P15" s="85"/>
      <c r="Q15" s="437">
        <f>'Estimating Schedule - UF'!T15</f>
        <v>280709</v>
      </c>
      <c r="S15" s="382">
        <v>280700</v>
      </c>
      <c r="T15" s="86"/>
      <c r="U15" s="170">
        <v>0</v>
      </c>
      <c r="V15" s="188"/>
      <c r="W15" s="455">
        <f>'Estimating Schedule - UF'!Z15</f>
        <v>0</v>
      </c>
      <c r="X15" s="189"/>
      <c r="Y15" s="170">
        <v>0</v>
      </c>
      <c r="Z15" s="86"/>
      <c r="AA15" s="382">
        <f>C15+I15+O15+U15</f>
        <v>1065062</v>
      </c>
      <c r="AB15" s="85"/>
      <c r="AC15" s="437">
        <f>E15+K15+Q15+W15</f>
        <v>1045217</v>
      </c>
      <c r="AD15" s="85" t="s">
        <v>19</v>
      </c>
      <c r="AE15" s="382">
        <f>G15+M15+S15+Y15</f>
        <v>1055100</v>
      </c>
      <c r="AF15" s="85"/>
      <c r="AG15" s="532">
        <f>+AE15/AC15-1</f>
        <v>9.4554527911427932E-3</v>
      </c>
    </row>
    <row r="16" spans="1:33" x14ac:dyDescent="0.25">
      <c r="A16" s="75" t="s">
        <v>204</v>
      </c>
      <c r="C16" s="373">
        <v>0</v>
      </c>
      <c r="D16" s="373"/>
      <c r="E16" s="516">
        <v>0</v>
      </c>
      <c r="F16" s="373"/>
      <c r="G16" s="512">
        <v>0</v>
      </c>
      <c r="H16" s="86"/>
      <c r="I16" s="373">
        <v>0</v>
      </c>
      <c r="J16" s="373"/>
      <c r="K16" s="516">
        <v>0</v>
      </c>
      <c r="M16" s="385">
        <v>18500</v>
      </c>
      <c r="N16" s="86"/>
      <c r="O16" s="373">
        <v>0</v>
      </c>
      <c r="P16" s="373"/>
      <c r="Q16" s="516">
        <v>0</v>
      </c>
      <c r="S16" s="385">
        <v>15500</v>
      </c>
      <c r="T16" s="86"/>
      <c r="U16" s="373">
        <v>0</v>
      </c>
      <c r="V16" s="373"/>
      <c r="W16" s="517">
        <v>0</v>
      </c>
      <c r="X16" s="373"/>
      <c r="Y16" s="515">
        <v>0</v>
      </c>
      <c r="Z16" s="86"/>
      <c r="AA16" s="373">
        <f>C16+I16+O16+U16</f>
        <v>0</v>
      </c>
      <c r="AB16" s="373"/>
      <c r="AC16" s="516">
        <v>0</v>
      </c>
      <c r="AD16" s="85"/>
      <c r="AE16" s="385">
        <f>G16+M16+S16+Y16</f>
        <v>34000</v>
      </c>
      <c r="AF16" s="85"/>
      <c r="AG16" s="532">
        <v>1</v>
      </c>
    </row>
    <row r="17" spans="1:37" x14ac:dyDescent="0.25">
      <c r="A17" s="75" t="s">
        <v>191</v>
      </c>
      <c r="C17" s="366">
        <v>0</v>
      </c>
      <c r="D17" s="366"/>
      <c r="E17" s="517">
        <f>'Estimating Schedule - UF'!H16</f>
        <v>300</v>
      </c>
      <c r="F17" s="373"/>
      <c r="G17" s="515">
        <v>700</v>
      </c>
      <c r="H17" s="371"/>
      <c r="I17" s="385">
        <v>3950</v>
      </c>
      <c r="J17" s="87"/>
      <c r="K17" s="435">
        <f>'Estimating Schedule - UF'!N16</f>
        <v>2200</v>
      </c>
      <c r="M17" s="385">
        <v>1200</v>
      </c>
      <c r="N17" s="371"/>
      <c r="O17" s="385">
        <v>0</v>
      </c>
      <c r="P17" s="87"/>
      <c r="Q17" s="435">
        <f>'Estimating Schedule - UF'!T16</f>
        <v>900</v>
      </c>
      <c r="S17" s="385">
        <v>900</v>
      </c>
      <c r="T17" s="371"/>
      <c r="U17" s="373">
        <v>0</v>
      </c>
      <c r="V17" s="373"/>
      <c r="W17" s="517">
        <f>'Estimating Schedule - UF'!Z16</f>
        <v>0</v>
      </c>
      <c r="X17" s="373"/>
      <c r="Y17" s="515">
        <v>0</v>
      </c>
      <c r="Z17" s="371"/>
      <c r="AA17" s="385">
        <f>C17+I17+O17+U17</f>
        <v>3950</v>
      </c>
      <c r="AB17" s="87"/>
      <c r="AC17" s="435">
        <f>E17+K17+Q17+W17</f>
        <v>3400</v>
      </c>
      <c r="AD17" s="87" t="s">
        <v>19</v>
      </c>
      <c r="AE17" s="385">
        <f>G17+M17+S17+Y17</f>
        <v>2800</v>
      </c>
      <c r="AF17" s="533"/>
      <c r="AG17" s="532">
        <f>+AE17/AC17-1</f>
        <v>-0.17647058823529416</v>
      </c>
    </row>
    <row r="18" spans="1:37" ht="18" x14ac:dyDescent="0.4">
      <c r="A18" s="75" t="s">
        <v>5</v>
      </c>
      <c r="C18" s="386">
        <v>7030</v>
      </c>
      <c r="E18" s="434">
        <f>'Estimating Schedule - UF'!H17</f>
        <v>14413</v>
      </c>
      <c r="G18" s="461">
        <v>8500</v>
      </c>
      <c r="H18" s="371"/>
      <c r="I18" s="386">
        <v>13730</v>
      </c>
      <c r="J18" s="87"/>
      <c r="K18" s="434">
        <f>'Estimating Schedule - UF'!N17</f>
        <v>28826</v>
      </c>
      <c r="M18" s="386">
        <v>14500</v>
      </c>
      <c r="N18" s="371"/>
      <c r="O18" s="386">
        <v>7312</v>
      </c>
      <c r="P18" s="87"/>
      <c r="Q18" s="434">
        <f>'Estimating Schedule - UF'!T17</f>
        <v>14413</v>
      </c>
      <c r="S18" s="386">
        <v>8500</v>
      </c>
      <c r="T18" s="371"/>
      <c r="U18" s="384">
        <v>0</v>
      </c>
      <c r="V18" s="171"/>
      <c r="W18" s="501">
        <f>'Estimating Schedule - UF'!Z17</f>
        <v>0</v>
      </c>
      <c r="X18" s="172"/>
      <c r="Y18" s="461">
        <v>0</v>
      </c>
      <c r="Z18" s="371"/>
      <c r="AA18" s="386">
        <f>C18+I18+O18+U18</f>
        <v>28072</v>
      </c>
      <c r="AB18" s="87"/>
      <c r="AC18" s="432">
        <f>E18+K18+Q18+W18</f>
        <v>57652</v>
      </c>
      <c r="AD18" s="87" t="s">
        <v>19</v>
      </c>
      <c r="AE18" s="386">
        <f>G18+M18+S18+Y18</f>
        <v>31500</v>
      </c>
      <c r="AF18" s="87"/>
      <c r="AG18" s="481">
        <f>+AE18/AC18-1</f>
        <v>-0.45361826129188931</v>
      </c>
      <c r="AH18" s="92"/>
    </row>
    <row r="19" spans="1:37" ht="18" x14ac:dyDescent="0.4">
      <c r="A19" s="75" t="s">
        <v>161</v>
      </c>
      <c r="C19" s="386">
        <f>SUM(C15:C18)</f>
        <v>274650</v>
      </c>
      <c r="E19" s="432">
        <f>SUM(E15:E18)</f>
        <v>230456</v>
      </c>
      <c r="G19" s="432">
        <f>SUM(G15:G18)</f>
        <v>234900</v>
      </c>
      <c r="H19" s="371"/>
      <c r="I19" s="432">
        <f>SUM(I15:I18)</f>
        <v>539267</v>
      </c>
      <c r="J19" s="87"/>
      <c r="K19" s="432">
        <f>SUM(K15:K18)</f>
        <v>579791</v>
      </c>
      <c r="M19" s="386">
        <f>SUM(M15:M18)</f>
        <v>582900</v>
      </c>
      <c r="N19" s="371"/>
      <c r="O19" s="432">
        <f>SUM(O15:O18)</f>
        <v>283167</v>
      </c>
      <c r="P19" s="87"/>
      <c r="Q19" s="432">
        <f>SUM(Q15:Q18)</f>
        <v>296022</v>
      </c>
      <c r="S19" s="386">
        <f>SUM(S15:S18)</f>
        <v>305600</v>
      </c>
      <c r="T19" s="371"/>
      <c r="U19" s="384">
        <f>SUM(U15:U18)</f>
        <v>0</v>
      </c>
      <c r="V19" s="171"/>
      <c r="W19" s="501">
        <f>SUM(W15:W18)</f>
        <v>0</v>
      </c>
      <c r="X19" s="172"/>
      <c r="Y19" s="461">
        <f>SUM(Y15:Y18)</f>
        <v>0</v>
      </c>
      <c r="Z19" s="371"/>
      <c r="AA19" s="386">
        <f>SUM(AA15:AA18)</f>
        <v>1097084</v>
      </c>
      <c r="AB19" s="87"/>
      <c r="AC19" s="432">
        <f>SUM(AC15:AC18)</f>
        <v>1106269</v>
      </c>
      <c r="AD19" s="87"/>
      <c r="AE19" s="386">
        <f>SUM(AE15:AE18)</f>
        <v>1123400</v>
      </c>
      <c r="AF19" s="87"/>
      <c r="AG19" s="481">
        <f>+AE19/AC19-1</f>
        <v>1.5485383753860882E-2</v>
      </c>
    </row>
    <row r="20" spans="1:37" x14ac:dyDescent="0.25">
      <c r="C20" s="385"/>
      <c r="E20" s="435"/>
      <c r="G20" s="458"/>
      <c r="H20" s="371"/>
      <c r="I20" s="385"/>
      <c r="J20" s="87"/>
      <c r="K20" s="435"/>
      <c r="M20" s="385"/>
      <c r="N20" s="371"/>
      <c r="O20" s="385"/>
      <c r="P20" s="87"/>
      <c r="Q20" s="435"/>
      <c r="S20" s="385"/>
      <c r="T20" s="371"/>
      <c r="U20" s="385"/>
      <c r="V20" s="87"/>
      <c r="W20" s="455"/>
      <c r="Y20" s="289"/>
      <c r="Z20" s="371"/>
      <c r="AA20" s="385"/>
      <c r="AB20" s="87"/>
      <c r="AC20" s="435"/>
      <c r="AD20" s="87"/>
      <c r="AE20" s="385"/>
      <c r="AF20" s="87"/>
      <c r="AG20" s="465"/>
    </row>
    <row r="21" spans="1:37" x14ac:dyDescent="0.25">
      <c r="A21" s="117" t="s">
        <v>169</v>
      </c>
      <c r="E21" s="435"/>
      <c r="G21" s="385"/>
      <c r="H21" s="371"/>
      <c r="I21" s="385"/>
      <c r="J21" s="87"/>
      <c r="K21" s="435"/>
      <c r="M21" s="385"/>
      <c r="N21" s="371"/>
      <c r="O21" s="385"/>
      <c r="P21" s="87"/>
      <c r="Q21" s="435"/>
      <c r="S21" s="385"/>
      <c r="T21" s="371"/>
      <c r="U21" s="385"/>
      <c r="V21" s="87"/>
      <c r="W21" s="455"/>
      <c r="Y21" s="289"/>
      <c r="Z21" s="371"/>
      <c r="AA21" s="385"/>
      <c r="AB21" s="87"/>
      <c r="AC21" s="435"/>
      <c r="AD21" s="87"/>
      <c r="AE21" s="385"/>
      <c r="AG21" s="465"/>
      <c r="AI21" s="87"/>
    </row>
    <row r="22" spans="1:37" s="83" customFormat="1" x14ac:dyDescent="0.25">
      <c r="A22" s="534" t="s">
        <v>247</v>
      </c>
      <c r="C22" s="374">
        <v>45334</v>
      </c>
      <c r="D22" s="374"/>
      <c r="E22" s="435">
        <f>+'Estimating Schedule - UF'!H21</f>
        <v>54846</v>
      </c>
      <c r="F22" s="374"/>
      <c r="G22" s="514">
        <v>64800</v>
      </c>
      <c r="H22" s="374"/>
      <c r="I22" s="374">
        <v>52194</v>
      </c>
      <c r="J22" s="374"/>
      <c r="K22" s="435">
        <f>+'Estimating Schedule - UF'!N21</f>
        <v>69805</v>
      </c>
      <c r="L22" s="374"/>
      <c r="M22" s="374">
        <v>88000</v>
      </c>
      <c r="N22" s="371"/>
      <c r="O22" s="374">
        <v>32503</v>
      </c>
      <c r="P22" s="90"/>
      <c r="Q22" s="435">
        <f>+'Estimating Schedule - UF'!T21</f>
        <v>41550</v>
      </c>
      <c r="S22" s="374">
        <v>51550</v>
      </c>
      <c r="T22" s="371"/>
      <c r="U22" s="375">
        <v>0</v>
      </c>
      <c r="V22" s="375"/>
      <c r="W22" s="574">
        <v>0</v>
      </c>
      <c r="X22" s="375"/>
      <c r="Y22" s="506">
        <v>0</v>
      </c>
      <c r="Z22" s="371"/>
      <c r="AA22" s="374">
        <f t="shared" ref="AA22:AA41" si="0">C22+I22+O22+U22</f>
        <v>130031</v>
      </c>
      <c r="AB22" s="90"/>
      <c r="AC22" s="574">
        <f t="shared" ref="AC22:AC41" si="1">E22+K22+Q22+W22</f>
        <v>166201</v>
      </c>
      <c r="AD22" s="518"/>
      <c r="AE22" s="574">
        <f>G22+M22+S22+Y22</f>
        <v>204350</v>
      </c>
      <c r="AG22" s="532">
        <f>+AE22/AC22-1</f>
        <v>0.22953532168879853</v>
      </c>
      <c r="AI22" s="535"/>
      <c r="AJ22" s="535"/>
      <c r="AK22" s="83">
        <f>O22/AA22</f>
        <v>0.24996347024940208</v>
      </c>
    </row>
    <row r="23" spans="1:37" s="83" customFormat="1" x14ac:dyDescent="0.25">
      <c r="A23" s="534" t="s">
        <v>248</v>
      </c>
      <c r="C23" s="374">
        <v>3615</v>
      </c>
      <c r="E23" s="574">
        <f>'Estimating Schedule - UF'!H23</f>
        <v>4106</v>
      </c>
      <c r="G23" s="514">
        <v>4900</v>
      </c>
      <c r="H23" s="371"/>
      <c r="I23" s="374">
        <v>3928</v>
      </c>
      <c r="J23" s="90"/>
      <c r="K23" s="574">
        <f>'Estimating Schedule - UF'!N23</f>
        <v>5227</v>
      </c>
      <c r="M23" s="374">
        <v>6200</v>
      </c>
      <c r="N23" s="371"/>
      <c r="O23" s="374">
        <v>2449</v>
      </c>
      <c r="P23" s="90"/>
      <c r="Q23" s="574">
        <f>'Estimating Schedule - UF'!T23</f>
        <v>3112</v>
      </c>
      <c r="S23" s="374">
        <v>3500</v>
      </c>
      <c r="T23" s="371"/>
      <c r="U23" s="375">
        <v>0</v>
      </c>
      <c r="V23" s="375"/>
      <c r="W23" s="574">
        <v>0</v>
      </c>
      <c r="X23" s="375"/>
      <c r="Y23" s="506">
        <v>0</v>
      </c>
      <c r="Z23" s="371"/>
      <c r="AA23" s="374">
        <f t="shared" si="0"/>
        <v>9992</v>
      </c>
      <c r="AB23" s="90"/>
      <c r="AC23" s="574">
        <f t="shared" si="1"/>
        <v>12445</v>
      </c>
      <c r="AD23" s="518"/>
      <c r="AE23" s="574">
        <f>G23+M23+S23+Y23</f>
        <v>14600</v>
      </c>
      <c r="AG23" s="532">
        <f t="shared" ref="AG23:AG43" si="2">+AE23/AC23-1</f>
        <v>0.17316191241462442</v>
      </c>
      <c r="AH23" s="535">
        <f>AA23/AA22</f>
        <v>7.6843214310433672E-2</v>
      </c>
      <c r="AI23" s="535">
        <f>AC23/AC22</f>
        <v>7.4879212519780261E-2</v>
      </c>
      <c r="AJ23" s="535">
        <f>AE23/AE22</f>
        <v>7.1446048446293126E-2</v>
      </c>
      <c r="AK23" s="83">
        <f>S22/AE22</f>
        <v>0.25226327379495961</v>
      </c>
    </row>
    <row r="24" spans="1:37" s="83" customFormat="1" x14ac:dyDescent="0.25">
      <c r="A24" s="534" t="s">
        <v>249</v>
      </c>
      <c r="C24" s="374">
        <v>6639</v>
      </c>
      <c r="E24" s="574">
        <f>'Estimating Schedule - UF'!H24</f>
        <v>8018</v>
      </c>
      <c r="G24" s="514">
        <v>10200</v>
      </c>
      <c r="H24" s="371"/>
      <c r="I24" s="374">
        <v>10931</v>
      </c>
      <c r="J24" s="90"/>
      <c r="K24" s="435">
        <f>'Estimating Schedule - UF'!N24</f>
        <v>16036</v>
      </c>
      <c r="M24" s="374">
        <v>18500</v>
      </c>
      <c r="N24" s="371"/>
      <c r="O24" s="374">
        <v>5466</v>
      </c>
      <c r="P24" s="90"/>
      <c r="Q24" s="574">
        <f>'Estimating Schedule - UF'!T24</f>
        <v>8018</v>
      </c>
      <c r="S24" s="374">
        <v>10200</v>
      </c>
      <c r="T24" s="371"/>
      <c r="U24" s="375">
        <v>0</v>
      </c>
      <c r="V24" s="375"/>
      <c r="W24" s="574">
        <v>0</v>
      </c>
      <c r="X24" s="375"/>
      <c r="Y24" s="506">
        <v>0</v>
      </c>
      <c r="Z24" s="371"/>
      <c r="AA24" s="374">
        <f t="shared" si="0"/>
        <v>23036</v>
      </c>
      <c r="AB24" s="90"/>
      <c r="AC24" s="574">
        <f t="shared" si="1"/>
        <v>32072</v>
      </c>
      <c r="AD24" s="518"/>
      <c r="AE24" s="574">
        <f>G24+M24+S24+Y24</f>
        <v>38900</v>
      </c>
      <c r="AF24" s="90"/>
      <c r="AG24" s="532">
        <f t="shared" si="2"/>
        <v>0.21289598403591925</v>
      </c>
    </row>
    <row r="25" spans="1:37" s="83" customFormat="1" ht="15" customHeight="1" x14ac:dyDescent="0.25">
      <c r="A25" s="534" t="s">
        <v>478</v>
      </c>
      <c r="C25" s="374">
        <v>70046</v>
      </c>
      <c r="E25" s="435">
        <f>'Estimating Schedule - UF'!H25</f>
        <v>37935</v>
      </c>
      <c r="G25" s="514">
        <f>50000-6000</f>
        <v>44000</v>
      </c>
      <c r="H25" s="371"/>
      <c r="I25" s="375">
        <v>0</v>
      </c>
      <c r="J25" s="375"/>
      <c r="K25" s="518">
        <f>'Estimating Schedule - UF'!N25</f>
        <v>0</v>
      </c>
      <c r="L25" s="375"/>
      <c r="M25" s="374">
        <v>0</v>
      </c>
      <c r="N25" s="371"/>
      <c r="O25" s="375">
        <v>0</v>
      </c>
      <c r="P25" s="375"/>
      <c r="Q25" s="518">
        <f>'Estimating Schedule - UF'!T25</f>
        <v>0</v>
      </c>
      <c r="R25" s="375"/>
      <c r="S25" s="374">
        <v>0</v>
      </c>
      <c r="T25" s="371"/>
      <c r="U25" s="375">
        <v>0</v>
      </c>
      <c r="V25" s="375"/>
      <c r="W25" s="574">
        <v>0</v>
      </c>
      <c r="X25" s="375"/>
      <c r="Y25" s="506">
        <v>0</v>
      </c>
      <c r="Z25" s="371"/>
      <c r="AA25" s="374">
        <f t="shared" si="0"/>
        <v>70046</v>
      </c>
      <c r="AB25" s="90"/>
      <c r="AC25" s="574">
        <f t="shared" si="1"/>
        <v>37935</v>
      </c>
      <c r="AD25" s="518"/>
      <c r="AE25" s="574">
        <f t="shared" ref="AE25:AE42" si="3">G25+M25+S25+Y25</f>
        <v>44000</v>
      </c>
      <c r="AF25" s="90"/>
      <c r="AG25" s="532">
        <f t="shared" si="2"/>
        <v>0.15987873994991442</v>
      </c>
    </row>
    <row r="26" spans="1:37" s="83" customFormat="1" x14ac:dyDescent="0.25">
      <c r="A26" s="534" t="s">
        <v>479</v>
      </c>
      <c r="C26" s="374">
        <v>17227</v>
      </c>
      <c r="E26" s="435">
        <f>'Estimating Schedule - UF'!H26</f>
        <v>14865</v>
      </c>
      <c r="G26" s="514">
        <v>15500</v>
      </c>
      <c r="H26" s="371"/>
      <c r="I26" s="374">
        <v>59007</v>
      </c>
      <c r="J26" s="90"/>
      <c r="K26" s="435">
        <f>'Estimating Schedule - UF'!N26</f>
        <v>90121</v>
      </c>
      <c r="M26" s="374">
        <f>105000-20000</f>
        <v>85000</v>
      </c>
      <c r="N26" s="371"/>
      <c r="O26" s="374">
        <v>42225</v>
      </c>
      <c r="P26" s="90"/>
      <c r="Q26" s="435">
        <f>'Estimating Schedule - UF'!T26</f>
        <v>81292</v>
      </c>
      <c r="S26" s="374">
        <v>55000</v>
      </c>
      <c r="T26" s="371"/>
      <c r="U26" s="374">
        <v>2368</v>
      </c>
      <c r="V26" s="90"/>
      <c r="W26" s="574">
        <f>'Estimating Schedule - UF'!Z26</f>
        <v>1706</v>
      </c>
      <c r="X26" s="375"/>
      <c r="Y26" s="506">
        <v>1200</v>
      </c>
      <c r="Z26" s="371"/>
      <c r="AA26" s="374">
        <f t="shared" si="0"/>
        <v>120827</v>
      </c>
      <c r="AB26" s="90"/>
      <c r="AC26" s="574">
        <f t="shared" si="1"/>
        <v>187984</v>
      </c>
      <c r="AD26" s="518"/>
      <c r="AE26" s="574">
        <f>G26+M26+S26+Y26</f>
        <v>156700</v>
      </c>
      <c r="AF26" s="90"/>
      <c r="AG26" s="532">
        <f t="shared" si="2"/>
        <v>-0.16641841858881612</v>
      </c>
      <c r="AI26" s="526"/>
    </row>
    <row r="27" spans="1:37" s="83" customFormat="1" x14ac:dyDescent="0.25">
      <c r="A27" s="534" t="s">
        <v>480</v>
      </c>
      <c r="C27" s="375">
        <v>0</v>
      </c>
      <c r="D27" s="187"/>
      <c r="E27" s="518">
        <f>'Estimating Schedule - UF'!H27</f>
        <v>0</v>
      </c>
      <c r="F27" s="187"/>
      <c r="G27" s="514">
        <v>0</v>
      </c>
      <c r="H27" s="371"/>
      <c r="I27" s="374">
        <v>136105</v>
      </c>
      <c r="J27" s="90"/>
      <c r="K27" s="435">
        <f>'Estimating Schedule - UF'!N27</f>
        <v>84920</v>
      </c>
      <c r="M27" s="374">
        <v>95500</v>
      </c>
      <c r="N27" s="371"/>
      <c r="O27" s="374">
        <v>6129</v>
      </c>
      <c r="P27" s="90"/>
      <c r="Q27" s="574">
        <f>'Estimating Schedule - UF'!T27</f>
        <v>2025</v>
      </c>
      <c r="S27" s="374">
        <v>3000</v>
      </c>
      <c r="T27" s="371"/>
      <c r="U27" s="375">
        <v>0</v>
      </c>
      <c r="V27" s="375"/>
      <c r="W27" s="574">
        <v>0</v>
      </c>
      <c r="X27" s="375"/>
      <c r="Y27" s="506">
        <v>0</v>
      </c>
      <c r="Z27" s="371"/>
      <c r="AA27" s="374">
        <f t="shared" si="0"/>
        <v>142234</v>
      </c>
      <c r="AB27" s="90"/>
      <c r="AC27" s="574">
        <f t="shared" si="1"/>
        <v>86945</v>
      </c>
      <c r="AD27" s="518"/>
      <c r="AE27" s="574">
        <f t="shared" si="3"/>
        <v>98500</v>
      </c>
      <c r="AF27" s="90"/>
      <c r="AG27" s="532">
        <f t="shared" si="2"/>
        <v>0.13290010926447748</v>
      </c>
    </row>
    <row r="28" spans="1:37" s="83" customFormat="1" x14ac:dyDescent="0.25">
      <c r="A28" s="534" t="s">
        <v>481</v>
      </c>
      <c r="C28" s="373">
        <v>0</v>
      </c>
      <c r="D28" s="187"/>
      <c r="E28" s="518">
        <f>'Estimating Schedule - UF'!H28</f>
        <v>0</v>
      </c>
      <c r="F28" s="187"/>
      <c r="G28" s="514">
        <v>0</v>
      </c>
      <c r="H28" s="371"/>
      <c r="I28" s="375">
        <v>0</v>
      </c>
      <c r="J28" s="90" t="s">
        <v>19</v>
      </c>
      <c r="K28" s="435">
        <f>'Estimating Schedule - UF'!N28</f>
        <v>12000</v>
      </c>
      <c r="M28" s="374">
        <v>12000</v>
      </c>
      <c r="N28" s="371" t="s">
        <v>19</v>
      </c>
      <c r="O28" s="375">
        <v>0</v>
      </c>
      <c r="P28" s="375"/>
      <c r="Q28" s="435">
        <f>'Estimating Schedule - UF'!T28</f>
        <v>15588</v>
      </c>
      <c r="S28" s="374">
        <v>15588</v>
      </c>
      <c r="T28" s="371"/>
      <c r="U28" s="375">
        <v>0</v>
      </c>
      <c r="V28" s="375"/>
      <c r="W28" s="574">
        <v>0</v>
      </c>
      <c r="X28" s="375"/>
      <c r="Y28" s="506">
        <v>0</v>
      </c>
      <c r="Z28" s="371"/>
      <c r="AA28" s="375">
        <f t="shared" si="0"/>
        <v>0</v>
      </c>
      <c r="AB28" s="90"/>
      <c r="AC28" s="574">
        <f t="shared" si="1"/>
        <v>27588</v>
      </c>
      <c r="AD28" s="518"/>
      <c r="AE28" s="574">
        <f t="shared" si="3"/>
        <v>27588</v>
      </c>
      <c r="AF28" s="90"/>
      <c r="AG28" s="532">
        <f t="shared" si="2"/>
        <v>0</v>
      </c>
    </row>
    <row r="29" spans="1:37" s="83" customFormat="1" x14ac:dyDescent="0.25">
      <c r="A29" s="534" t="s">
        <v>482</v>
      </c>
      <c r="C29" s="375">
        <v>0</v>
      </c>
      <c r="D29" s="187"/>
      <c r="E29" s="518">
        <f>'Estimating Schedule - UF'!H29</f>
        <v>0</v>
      </c>
      <c r="F29" s="187"/>
      <c r="G29" s="506">
        <v>0</v>
      </c>
      <c r="H29" s="371"/>
      <c r="I29" s="375">
        <v>0</v>
      </c>
      <c r="J29" s="90"/>
      <c r="K29" s="518">
        <f>'Estimating Schedule - UF'!N29</f>
        <v>0</v>
      </c>
      <c r="L29" s="375"/>
      <c r="M29" s="374">
        <v>0</v>
      </c>
      <c r="N29" s="371"/>
      <c r="O29" s="375">
        <v>0</v>
      </c>
      <c r="P29" s="375"/>
      <c r="Q29" s="518">
        <f>'Estimating Schedule - UF'!T29</f>
        <v>0</v>
      </c>
      <c r="S29" s="374">
        <v>0</v>
      </c>
      <c r="T29" s="371"/>
      <c r="U29" s="374"/>
      <c r="V29" s="90"/>
      <c r="W29" s="574">
        <f>'Estimating Schedule - UF'!Z29</f>
        <v>2705</v>
      </c>
      <c r="Y29" s="506">
        <v>2700</v>
      </c>
      <c r="Z29" s="371"/>
      <c r="AA29" s="374">
        <f t="shared" si="0"/>
        <v>0</v>
      </c>
      <c r="AB29" s="90"/>
      <c r="AC29" s="574">
        <f t="shared" si="1"/>
        <v>2705</v>
      </c>
      <c r="AD29" s="518"/>
      <c r="AE29" s="574">
        <f>G29+M29+S29+Y29</f>
        <v>2700</v>
      </c>
      <c r="AF29" s="90"/>
      <c r="AG29" s="532">
        <f t="shared" si="2"/>
        <v>-1.848428835489857E-3</v>
      </c>
    </row>
    <row r="30" spans="1:37" s="83" customFormat="1" x14ac:dyDescent="0.25">
      <c r="A30" s="534" t="s">
        <v>483</v>
      </c>
      <c r="C30" s="373">
        <v>0</v>
      </c>
      <c r="D30" s="187"/>
      <c r="E30" s="518">
        <f>'Estimating Schedule - UF'!H30</f>
        <v>0</v>
      </c>
      <c r="F30" s="187"/>
      <c r="G30" s="515">
        <v>0</v>
      </c>
      <c r="H30" s="371"/>
      <c r="I30" s="375">
        <v>0</v>
      </c>
      <c r="J30" s="90"/>
      <c r="K30" s="518">
        <f>'Estimating Schedule - UF'!N30</f>
        <v>0</v>
      </c>
      <c r="L30" s="375"/>
      <c r="M30" s="374">
        <v>0</v>
      </c>
      <c r="N30" s="371"/>
      <c r="O30" s="375">
        <v>0</v>
      </c>
      <c r="P30" s="375"/>
      <c r="Q30" s="518">
        <f>'Estimating Schedule - UF'!T30</f>
        <v>0</v>
      </c>
      <c r="S30" s="374">
        <v>0</v>
      </c>
      <c r="T30" s="371"/>
      <c r="U30" s="374">
        <v>0</v>
      </c>
      <c r="V30" s="90"/>
      <c r="W30" s="574">
        <f>'Estimating Schedule - UF'!Z30</f>
        <v>4402</v>
      </c>
      <c r="Y30" s="506">
        <v>4400</v>
      </c>
      <c r="Z30" s="371"/>
      <c r="AA30" s="374">
        <f t="shared" si="0"/>
        <v>0</v>
      </c>
      <c r="AB30" s="90"/>
      <c r="AC30" s="574">
        <f t="shared" si="1"/>
        <v>4402</v>
      </c>
      <c r="AD30" s="518"/>
      <c r="AE30" s="574">
        <f>G30+M30+S30+Y30</f>
        <v>4400</v>
      </c>
      <c r="AF30" s="90"/>
      <c r="AG30" s="532">
        <f t="shared" si="2"/>
        <v>-4.5433893684687643E-4</v>
      </c>
    </row>
    <row r="31" spans="1:37" s="83" customFormat="1" x14ac:dyDescent="0.25">
      <c r="A31" s="534" t="s">
        <v>484</v>
      </c>
      <c r="C31" s="375">
        <v>0</v>
      </c>
      <c r="D31" s="187"/>
      <c r="E31" s="518">
        <f>'Estimating Schedule - UF'!H31</f>
        <v>0</v>
      </c>
      <c r="F31" s="187"/>
      <c r="G31" s="506">
        <v>0</v>
      </c>
      <c r="H31" s="371"/>
      <c r="I31" s="375">
        <v>0</v>
      </c>
      <c r="J31" s="90"/>
      <c r="K31" s="518">
        <f>'Estimating Schedule - UF'!N31</f>
        <v>0</v>
      </c>
      <c r="L31" s="375"/>
      <c r="M31" s="374">
        <v>0</v>
      </c>
      <c r="N31" s="371"/>
      <c r="O31" s="375">
        <v>0</v>
      </c>
      <c r="P31" s="375"/>
      <c r="Q31" s="518">
        <f>'Estimating Schedule - UF'!T31</f>
        <v>0</v>
      </c>
      <c r="S31" s="374">
        <v>0</v>
      </c>
      <c r="T31" s="371"/>
      <c r="U31" s="374">
        <v>12915</v>
      </c>
      <c r="V31" s="90"/>
      <c r="W31" s="574">
        <f>'Estimating Schedule - UF'!Z31</f>
        <v>15031</v>
      </c>
      <c r="Y31" s="506">
        <v>15000</v>
      </c>
      <c r="Z31" s="371"/>
      <c r="AA31" s="374">
        <f t="shared" si="0"/>
        <v>12915</v>
      </c>
      <c r="AB31" s="90"/>
      <c r="AC31" s="574">
        <f t="shared" si="1"/>
        <v>15031</v>
      </c>
      <c r="AD31" s="518"/>
      <c r="AE31" s="574">
        <f t="shared" si="3"/>
        <v>15000</v>
      </c>
      <c r="AF31" s="90"/>
      <c r="AG31" s="532">
        <f t="shared" si="2"/>
        <v>-2.062404364313708E-3</v>
      </c>
    </row>
    <row r="32" spans="1:37" s="83" customFormat="1" x14ac:dyDescent="0.25">
      <c r="A32" s="534" t="s">
        <v>257</v>
      </c>
      <c r="C32" s="375">
        <v>0</v>
      </c>
      <c r="D32" s="187"/>
      <c r="E32" s="518">
        <f>'Estimating Schedule - UF'!H32</f>
        <v>0</v>
      </c>
      <c r="F32" s="187"/>
      <c r="G32" s="506">
        <v>0</v>
      </c>
      <c r="H32" s="371"/>
      <c r="I32" s="374">
        <v>33446</v>
      </c>
      <c r="J32" s="90"/>
      <c r="K32" s="435">
        <f>'Estimating Schedule - UF'!N32</f>
        <v>32967</v>
      </c>
      <c r="M32" s="374">
        <v>33100</v>
      </c>
      <c r="N32" s="371"/>
      <c r="O32" s="374">
        <v>28379</v>
      </c>
      <c r="P32" s="90"/>
      <c r="Q32" s="435">
        <f>'Estimating Schedule - UF'!T32</f>
        <v>25981</v>
      </c>
      <c r="S32" s="374">
        <v>26000</v>
      </c>
      <c r="T32" s="371"/>
      <c r="U32" s="374">
        <v>2211</v>
      </c>
      <c r="V32" s="90"/>
      <c r="W32" s="574">
        <f>'Estimating Schedule - UF'!Z32</f>
        <v>2514</v>
      </c>
      <c r="Y32" s="506">
        <v>2520</v>
      </c>
      <c r="Z32" s="371"/>
      <c r="AA32" s="374">
        <f t="shared" si="0"/>
        <v>64036</v>
      </c>
      <c r="AB32" s="90"/>
      <c r="AC32" s="574">
        <f t="shared" si="1"/>
        <v>61462</v>
      </c>
      <c r="AD32" s="518"/>
      <c r="AE32" s="574">
        <f t="shared" si="3"/>
        <v>61620</v>
      </c>
      <c r="AF32" s="90"/>
      <c r="AG32" s="532">
        <f t="shared" si="2"/>
        <v>2.5706940874035134E-3</v>
      </c>
    </row>
    <row r="33" spans="1:35" s="83" customFormat="1" x14ac:dyDescent="0.25">
      <c r="A33" s="534" t="s">
        <v>255</v>
      </c>
      <c r="C33" s="375">
        <v>0</v>
      </c>
      <c r="D33" s="187"/>
      <c r="E33" s="518">
        <f>'Estimating Schedule - UF'!H33</f>
        <v>0</v>
      </c>
      <c r="F33" s="187"/>
      <c r="G33" s="506">
        <v>0</v>
      </c>
      <c r="H33" s="371"/>
      <c r="I33" s="374">
        <v>2020</v>
      </c>
      <c r="J33" s="90"/>
      <c r="K33" s="574">
        <f>'Estimating Schedule - UF'!N33</f>
        <v>3092</v>
      </c>
      <c r="L33" s="374"/>
      <c r="M33" s="374">
        <v>3100</v>
      </c>
      <c r="N33" s="371"/>
      <c r="O33" s="374">
        <v>3183</v>
      </c>
      <c r="P33" s="90"/>
      <c r="Q33" s="574">
        <f>'Estimating Schedule - UF'!T33</f>
        <v>4260</v>
      </c>
      <c r="S33" s="374">
        <v>4300</v>
      </c>
      <c r="T33" s="371"/>
      <c r="U33" s="374">
        <v>20024</v>
      </c>
      <c r="V33" s="90"/>
      <c r="W33" s="574">
        <f>'Estimating Schedule - UF'!Z33</f>
        <v>30495</v>
      </c>
      <c r="Y33" s="506">
        <v>25500</v>
      </c>
      <c r="Z33" s="371"/>
      <c r="AA33" s="374">
        <f t="shared" si="0"/>
        <v>25227</v>
      </c>
      <c r="AB33" s="90"/>
      <c r="AC33" s="574">
        <f t="shared" si="1"/>
        <v>37847</v>
      </c>
      <c r="AD33" s="518"/>
      <c r="AE33" s="574">
        <f t="shared" si="3"/>
        <v>32900</v>
      </c>
      <c r="AF33" s="90"/>
      <c r="AG33" s="532">
        <f t="shared" si="2"/>
        <v>-0.13071049224509212</v>
      </c>
    </row>
    <row r="34" spans="1:35" s="83" customFormat="1" x14ac:dyDescent="0.25">
      <c r="A34" s="534" t="s">
        <v>485</v>
      </c>
      <c r="C34" s="375">
        <v>0</v>
      </c>
      <c r="D34" s="187"/>
      <c r="E34" s="518">
        <f>'Estimating Schedule - UF'!H34</f>
        <v>0</v>
      </c>
      <c r="F34" s="187"/>
      <c r="G34" s="506">
        <v>0</v>
      </c>
      <c r="H34" s="371"/>
      <c r="I34" s="375">
        <v>0</v>
      </c>
      <c r="J34" s="375"/>
      <c r="K34" s="518">
        <f>'Estimating Schedule - UF'!N34</f>
        <v>0</v>
      </c>
      <c r="L34" s="375"/>
      <c r="M34" s="367">
        <v>0</v>
      </c>
      <c r="N34" s="375"/>
      <c r="O34" s="375">
        <v>0</v>
      </c>
      <c r="P34" s="375"/>
      <c r="Q34" s="518">
        <f>'Estimating Schedule - UF'!T34</f>
        <v>0</v>
      </c>
      <c r="R34" s="375"/>
      <c r="S34" s="374">
        <v>0</v>
      </c>
      <c r="T34" s="371"/>
      <c r="U34" s="374">
        <v>12259</v>
      </c>
      <c r="V34" s="90"/>
      <c r="W34" s="574">
        <f>'Estimating Schedule - UF'!Z34</f>
        <v>27978</v>
      </c>
      <c r="X34" s="374"/>
      <c r="Y34" s="506">
        <v>20500</v>
      </c>
      <c r="Z34" s="371"/>
      <c r="AA34" s="374">
        <f t="shared" si="0"/>
        <v>12259</v>
      </c>
      <c r="AB34" s="90"/>
      <c r="AC34" s="574">
        <f t="shared" si="1"/>
        <v>27978</v>
      </c>
      <c r="AD34" s="518"/>
      <c r="AE34" s="574">
        <f t="shared" si="3"/>
        <v>20500</v>
      </c>
      <c r="AF34" s="90"/>
      <c r="AG34" s="532">
        <f t="shared" si="2"/>
        <v>-0.26728143541353921</v>
      </c>
    </row>
    <row r="35" spans="1:35" s="83" customFormat="1" x14ac:dyDescent="0.25">
      <c r="A35" s="534" t="s">
        <v>256</v>
      </c>
      <c r="C35" s="374">
        <v>23175</v>
      </c>
      <c r="E35" s="435">
        <f>'Estimating Schedule - UF'!H35</f>
        <v>25938</v>
      </c>
      <c r="G35" s="506">
        <v>25900</v>
      </c>
      <c r="H35" s="371"/>
      <c r="I35" s="374">
        <v>36418</v>
      </c>
      <c r="J35" s="90"/>
      <c r="K35" s="435">
        <f>'Estimating Schedule - UF'!N35</f>
        <v>40759</v>
      </c>
      <c r="M35" s="367">
        <v>40800</v>
      </c>
      <c r="N35" s="90"/>
      <c r="O35" s="374">
        <v>27590</v>
      </c>
      <c r="P35" s="90"/>
      <c r="Q35" s="435">
        <f>'Estimating Schedule - UF'!T35</f>
        <v>30878</v>
      </c>
      <c r="S35" s="374">
        <v>30900</v>
      </c>
      <c r="T35" s="371"/>
      <c r="U35" s="374">
        <v>23176</v>
      </c>
      <c r="V35" s="90"/>
      <c r="W35" s="574">
        <f>'Estimating Schedule - UF'!Z35</f>
        <v>23129</v>
      </c>
      <c r="X35" s="375"/>
      <c r="Y35" s="506">
        <v>23500</v>
      </c>
      <c r="Z35" s="371"/>
      <c r="AA35" s="374">
        <f t="shared" si="0"/>
        <v>110359</v>
      </c>
      <c r="AB35" s="90"/>
      <c r="AC35" s="574">
        <f t="shared" si="1"/>
        <v>120704</v>
      </c>
      <c r="AD35" s="518"/>
      <c r="AE35" s="574">
        <f t="shared" si="3"/>
        <v>121100</v>
      </c>
      <c r="AF35" s="90"/>
      <c r="AG35" s="532">
        <f t="shared" si="2"/>
        <v>3.2807529162248716E-3</v>
      </c>
    </row>
    <row r="36" spans="1:35" s="83" customFormat="1" x14ac:dyDescent="0.25">
      <c r="A36" s="534" t="s">
        <v>465</v>
      </c>
      <c r="C36" s="373">
        <v>0</v>
      </c>
      <c r="D36" s="373"/>
      <c r="E36" s="518">
        <f>'Estimating Schedule - UF'!H36</f>
        <v>0</v>
      </c>
      <c r="F36" s="373"/>
      <c r="G36" s="515">
        <v>0</v>
      </c>
      <c r="H36" s="371"/>
      <c r="I36" s="373">
        <v>0</v>
      </c>
      <c r="J36" s="373"/>
      <c r="K36" s="518">
        <f>'Estimating Schedule - UF'!N36</f>
        <v>0</v>
      </c>
      <c r="L36" s="373"/>
      <c r="M36" s="367">
        <v>0</v>
      </c>
      <c r="N36" s="373"/>
      <c r="O36" s="366">
        <v>0</v>
      </c>
      <c r="P36" s="373"/>
      <c r="Q36" s="518">
        <f>'Estimating Schedule - UF'!T36</f>
        <v>0</v>
      </c>
      <c r="R36" s="373"/>
      <c r="S36" s="374">
        <v>0</v>
      </c>
      <c r="T36" s="371"/>
      <c r="U36" s="374">
        <v>13995</v>
      </c>
      <c r="V36" s="90"/>
      <c r="W36" s="574">
        <f>'Estimating Schedule - UF'!Z36</f>
        <v>20000</v>
      </c>
      <c r="Y36" s="506">
        <v>18530</v>
      </c>
      <c r="Z36" s="371"/>
      <c r="AA36" s="374">
        <f t="shared" si="0"/>
        <v>13995</v>
      </c>
      <c r="AB36" s="90"/>
      <c r="AC36" s="574">
        <f t="shared" si="1"/>
        <v>20000</v>
      </c>
      <c r="AD36" s="518"/>
      <c r="AE36" s="574">
        <f t="shared" si="3"/>
        <v>18530</v>
      </c>
      <c r="AF36" s="90"/>
      <c r="AG36" s="532">
        <f t="shared" si="2"/>
        <v>-7.350000000000001E-2</v>
      </c>
    </row>
    <row r="37" spans="1:35" s="83" customFormat="1" x14ac:dyDescent="0.25">
      <c r="A37" s="534" t="s">
        <v>254</v>
      </c>
      <c r="C37" s="373">
        <v>0</v>
      </c>
      <c r="D37" s="373"/>
      <c r="E37" s="518">
        <f>'Estimating Schedule - UF'!H37</f>
        <v>0</v>
      </c>
      <c r="F37" s="373"/>
      <c r="G37" s="515">
        <v>0</v>
      </c>
      <c r="H37" s="371"/>
      <c r="I37" s="373">
        <v>0</v>
      </c>
      <c r="J37" s="373"/>
      <c r="K37" s="518">
        <f>'Estimating Schedule - UF'!N37</f>
        <v>0</v>
      </c>
      <c r="L37" s="373"/>
      <c r="M37" s="367">
        <v>0</v>
      </c>
      <c r="N37" s="373"/>
      <c r="O37" s="373">
        <v>0</v>
      </c>
      <c r="P37" s="373"/>
      <c r="Q37" s="518">
        <f>'Estimating Schedule - UF'!T37</f>
        <v>0</v>
      </c>
      <c r="R37" s="373"/>
      <c r="S37" s="374">
        <v>0</v>
      </c>
      <c r="T37" s="371"/>
      <c r="U37" s="374">
        <v>6339</v>
      </c>
      <c r="V37" s="90"/>
      <c r="W37" s="574">
        <f>'Estimating Schedule - UF'!Z37</f>
        <v>6687</v>
      </c>
      <c r="Y37" s="506">
        <v>6700</v>
      </c>
      <c r="Z37" s="371"/>
      <c r="AA37" s="374">
        <f t="shared" si="0"/>
        <v>6339</v>
      </c>
      <c r="AB37" s="90"/>
      <c r="AC37" s="574">
        <f t="shared" si="1"/>
        <v>6687</v>
      </c>
      <c r="AD37" s="518"/>
      <c r="AE37" s="574">
        <f t="shared" si="3"/>
        <v>6700</v>
      </c>
      <c r="AF37" s="90"/>
      <c r="AG37" s="532">
        <f t="shared" si="2"/>
        <v>1.9440705847166839E-3</v>
      </c>
    </row>
    <row r="38" spans="1:35" s="83" customFormat="1" x14ac:dyDescent="0.25">
      <c r="A38" s="534" t="s">
        <v>258</v>
      </c>
      <c r="C38" s="374">
        <v>13097</v>
      </c>
      <c r="E38" s="374">
        <f>'Estimating Schedule - UF'!H38</f>
        <v>19290</v>
      </c>
      <c r="G38" s="506">
        <v>18500</v>
      </c>
      <c r="H38" s="371"/>
      <c r="I38" s="374">
        <v>5672</v>
      </c>
      <c r="J38" s="90"/>
      <c r="K38" s="574">
        <f>'Estimating Schedule - UF'!N38</f>
        <v>6046</v>
      </c>
      <c r="M38" s="367">
        <v>6000</v>
      </c>
      <c r="N38" s="90"/>
      <c r="O38" s="374">
        <v>16507</v>
      </c>
      <c r="P38" s="90"/>
      <c r="Q38" s="574">
        <f>'Estimating Schedule - UF'!T38</f>
        <v>7894</v>
      </c>
      <c r="S38" s="374">
        <v>7900</v>
      </c>
      <c r="T38" s="371"/>
      <c r="U38" s="374">
        <v>1691</v>
      </c>
      <c r="V38" s="90"/>
      <c r="W38" s="574">
        <f>'Estimating Schedule - UF'!Z38</f>
        <v>0</v>
      </c>
      <c r="Y38" s="506">
        <v>1700</v>
      </c>
      <c r="Z38" s="371"/>
      <c r="AA38" s="374">
        <f t="shared" si="0"/>
        <v>36967</v>
      </c>
      <c r="AB38" s="90"/>
      <c r="AC38" s="574">
        <f t="shared" si="1"/>
        <v>33230</v>
      </c>
      <c r="AD38" s="518"/>
      <c r="AE38" s="574">
        <f t="shared" si="3"/>
        <v>34100</v>
      </c>
      <c r="AF38" s="90"/>
      <c r="AG38" s="532">
        <f t="shared" si="2"/>
        <v>2.6181161600963065E-2</v>
      </c>
    </row>
    <row r="39" spans="1:35" s="83" customFormat="1" x14ac:dyDescent="0.25">
      <c r="A39" s="534" t="s">
        <v>486</v>
      </c>
      <c r="C39" s="374">
        <v>8769</v>
      </c>
      <c r="E39" s="574">
        <f>'Estimating Schedule - UF'!H39</f>
        <v>7569</v>
      </c>
      <c r="G39" s="506">
        <v>1200</v>
      </c>
      <c r="H39" s="371"/>
      <c r="I39" s="366">
        <v>6369</v>
      </c>
      <c r="J39" s="373"/>
      <c r="K39" s="518">
        <f>'Estimating Schedule - UF'!N39</f>
        <v>0</v>
      </c>
      <c r="L39" s="366"/>
      <c r="M39" s="374">
        <v>0</v>
      </c>
      <c r="N39" s="371"/>
      <c r="O39" s="366">
        <v>5300</v>
      </c>
      <c r="P39" s="373"/>
      <c r="Q39" s="435">
        <f>'Estimating Schedule - UF'!T39</f>
        <v>0</v>
      </c>
      <c r="R39" s="373"/>
      <c r="S39" s="374">
        <v>0</v>
      </c>
      <c r="T39" s="371"/>
      <c r="U39" s="375">
        <v>0</v>
      </c>
      <c r="V39" s="375"/>
      <c r="W39" s="574">
        <v>0</v>
      </c>
      <c r="X39" s="375"/>
      <c r="Y39" s="506">
        <v>0</v>
      </c>
      <c r="Z39" s="371"/>
      <c r="AA39" s="374">
        <f t="shared" si="0"/>
        <v>20438</v>
      </c>
      <c r="AB39" s="90"/>
      <c r="AC39" s="574">
        <f t="shared" si="1"/>
        <v>7569</v>
      </c>
      <c r="AD39" s="518"/>
      <c r="AE39" s="574">
        <f t="shared" si="3"/>
        <v>1200</v>
      </c>
      <c r="AF39" s="90"/>
      <c r="AG39" s="532">
        <f t="shared" si="2"/>
        <v>-0.84145858105430049</v>
      </c>
    </row>
    <row r="40" spans="1:35" s="83" customFormat="1" x14ac:dyDescent="0.25">
      <c r="A40" s="534" t="s">
        <v>487</v>
      </c>
      <c r="C40" s="374">
        <v>2209</v>
      </c>
      <c r="E40" s="574">
        <f>'Estimating Schedule - UF'!H40</f>
        <v>2000</v>
      </c>
      <c r="G40" s="506">
        <v>2000</v>
      </c>
      <c r="H40" s="371"/>
      <c r="I40" s="374">
        <v>2082</v>
      </c>
      <c r="J40" s="90"/>
      <c r="K40" s="574">
        <f>'Estimating Schedule - UF'!N40</f>
        <v>2000</v>
      </c>
      <c r="M40" s="374">
        <v>2000</v>
      </c>
      <c r="N40" s="371"/>
      <c r="O40" s="374">
        <v>1157</v>
      </c>
      <c r="P40" s="90"/>
      <c r="Q40" s="574">
        <f>'Estimating Schedule - UF'!T40</f>
        <v>1000</v>
      </c>
      <c r="S40" s="374">
        <v>1000</v>
      </c>
      <c r="T40" s="371"/>
      <c r="U40" s="375">
        <v>0</v>
      </c>
      <c r="V40" s="375"/>
      <c r="W40" s="574">
        <v>0</v>
      </c>
      <c r="X40" s="375"/>
      <c r="Y40" s="506">
        <v>0</v>
      </c>
      <c r="Z40" s="371"/>
      <c r="AA40" s="374">
        <f t="shared" si="0"/>
        <v>5448</v>
      </c>
      <c r="AB40" s="90"/>
      <c r="AC40" s="374">
        <f t="shared" si="1"/>
        <v>5000</v>
      </c>
      <c r="AD40" s="518"/>
      <c r="AE40" s="574">
        <f t="shared" si="3"/>
        <v>5000</v>
      </c>
      <c r="AF40" s="90"/>
      <c r="AG40" s="532">
        <f t="shared" si="2"/>
        <v>0</v>
      </c>
    </row>
    <row r="41" spans="1:35" s="83" customFormat="1" x14ac:dyDescent="0.25">
      <c r="A41" s="534" t="s">
        <v>488</v>
      </c>
      <c r="C41" s="374">
        <v>14379</v>
      </c>
      <c r="E41" s="435">
        <f>'Estimating Schedule - UF'!H41</f>
        <v>14400</v>
      </c>
      <c r="G41" s="506">
        <v>14400</v>
      </c>
      <c r="H41" s="371"/>
      <c r="I41" s="374">
        <v>80897</v>
      </c>
      <c r="J41" s="90"/>
      <c r="K41" s="435">
        <f>'Estimating Schedule - UF'!N41</f>
        <v>81000</v>
      </c>
      <c r="M41" s="374">
        <v>81000</v>
      </c>
      <c r="N41" s="371"/>
      <c r="O41" s="374">
        <v>101466</v>
      </c>
      <c r="P41" s="90"/>
      <c r="Q41" s="435">
        <f>'Estimating Schedule - UF'!T41</f>
        <v>101600</v>
      </c>
      <c r="S41" s="374">
        <v>101600</v>
      </c>
      <c r="T41" s="371"/>
      <c r="U41" s="375">
        <v>0</v>
      </c>
      <c r="V41" s="375"/>
      <c r="W41" s="574">
        <v>0</v>
      </c>
      <c r="X41" s="375"/>
      <c r="Y41" s="506">
        <v>0</v>
      </c>
      <c r="Z41" s="371"/>
      <c r="AA41" s="374">
        <f t="shared" si="0"/>
        <v>196742</v>
      </c>
      <c r="AB41" s="90"/>
      <c r="AC41" s="574">
        <f t="shared" si="1"/>
        <v>197000</v>
      </c>
      <c r="AD41" s="518"/>
      <c r="AE41" s="574">
        <f>G41+M41+S41+Y41</f>
        <v>197000</v>
      </c>
      <c r="AF41" s="90"/>
      <c r="AG41" s="532">
        <f t="shared" si="2"/>
        <v>0</v>
      </c>
    </row>
    <row r="42" spans="1:35" ht="18" x14ac:dyDescent="0.4">
      <c r="A42" s="122" t="s">
        <v>489</v>
      </c>
      <c r="C42" s="370">
        <v>23745</v>
      </c>
      <c r="D42" s="92"/>
      <c r="E42" s="432">
        <f>'Estimating Schedule - UF'!H42</f>
        <v>33662</v>
      </c>
      <c r="F42" s="92"/>
      <c r="G42" s="461">
        <v>30563</v>
      </c>
      <c r="H42" s="372"/>
      <c r="I42" s="370">
        <v>46539</v>
      </c>
      <c r="J42" s="94"/>
      <c r="K42" s="432">
        <f>'Estimating Schedule - UF'!N42</f>
        <v>67323</v>
      </c>
      <c r="L42" s="92"/>
      <c r="M42" s="370">
        <v>61124</v>
      </c>
      <c r="N42" s="372"/>
      <c r="O42" s="370">
        <v>24694</v>
      </c>
      <c r="P42" s="390"/>
      <c r="Q42" s="519">
        <f>'Estimating Schedule - UF'!T42</f>
        <v>33662</v>
      </c>
      <c r="R42" s="92"/>
      <c r="S42" s="370">
        <v>30563</v>
      </c>
      <c r="T42" s="372"/>
      <c r="U42" s="370">
        <f>-C42-I42-O42</f>
        <v>-94978</v>
      </c>
      <c r="V42" s="94"/>
      <c r="W42" s="370">
        <f>-E42-K42-Q42</f>
        <v>-134647</v>
      </c>
      <c r="X42" s="92"/>
      <c r="Y42" s="461">
        <f>-G42-M42-S42</f>
        <v>-122250</v>
      </c>
      <c r="Z42" s="372"/>
      <c r="AA42" s="376">
        <f>C42+I42+O42+U42</f>
        <v>0</v>
      </c>
      <c r="AB42" s="384"/>
      <c r="AC42" s="432">
        <f>E42+K42+Q42+W42</f>
        <v>0</v>
      </c>
      <c r="AD42" s="384"/>
      <c r="AE42" s="376">
        <f t="shared" si="3"/>
        <v>0</v>
      </c>
      <c r="AF42" s="87"/>
      <c r="AG42" s="481">
        <v>0</v>
      </c>
    </row>
    <row r="43" spans="1:35" ht="18" x14ac:dyDescent="0.4">
      <c r="A43" s="75" t="s">
        <v>182</v>
      </c>
      <c r="C43" s="432">
        <f>SUM(C22:C42)</f>
        <v>228235</v>
      </c>
      <c r="E43" s="432">
        <f>SUM(E22:E42)</f>
        <v>222629</v>
      </c>
      <c r="G43" s="461">
        <f>SUM(G22:G42)</f>
        <v>231963</v>
      </c>
      <c r="H43" s="371"/>
      <c r="I43" s="432">
        <f>SUM(I22:I42)</f>
        <v>475608</v>
      </c>
      <c r="J43" s="87"/>
      <c r="K43" s="432">
        <f>SUM(K22:K42)</f>
        <v>511296</v>
      </c>
      <c r="M43" s="386">
        <f>SUM(M22:M42)</f>
        <v>532324</v>
      </c>
      <c r="N43" s="371"/>
      <c r="O43" s="386">
        <f>SUM(O22:O42)</f>
        <v>297048</v>
      </c>
      <c r="P43" s="87"/>
      <c r="Q43" s="432">
        <f>SUM(Q22:Q42)</f>
        <v>356860</v>
      </c>
      <c r="S43" s="386">
        <f>SUM(S22:S42)</f>
        <v>341101</v>
      </c>
      <c r="T43" s="371"/>
      <c r="U43" s="376">
        <f>SUM(U22:U42)</f>
        <v>0</v>
      </c>
      <c r="V43" s="171"/>
      <c r="W43" s="470">
        <f>SUM(W22:W42)</f>
        <v>0</v>
      </c>
      <c r="X43" s="172"/>
      <c r="Y43" s="461">
        <f>SUM(Y22:Y42)</f>
        <v>0</v>
      </c>
      <c r="Z43" s="371"/>
      <c r="AA43" s="386">
        <f>SUM(AA22:AA42)</f>
        <v>1000891</v>
      </c>
      <c r="AB43" s="87"/>
      <c r="AC43" s="432">
        <f>SUM(AC22:AC42)</f>
        <v>1090785</v>
      </c>
      <c r="AD43" s="87"/>
      <c r="AE43" s="386">
        <f>SUM(AE22:AE42)</f>
        <v>1105388</v>
      </c>
      <c r="AF43" s="87"/>
      <c r="AG43" s="481">
        <f t="shared" si="2"/>
        <v>1.3387606173535627E-2</v>
      </c>
      <c r="AH43" s="92">
        <f>O43-297048</f>
        <v>0</v>
      </c>
      <c r="AI43" s="92"/>
    </row>
    <row r="44" spans="1:35" x14ac:dyDescent="0.25">
      <c r="C44" s="385"/>
      <c r="E44" s="435"/>
      <c r="G44" s="385"/>
      <c r="H44" s="77"/>
      <c r="I44" s="385"/>
      <c r="K44" s="435"/>
      <c r="M44" s="385"/>
      <c r="N44" s="77"/>
      <c r="O44" s="385"/>
      <c r="Q44" s="435"/>
      <c r="S44" s="385"/>
      <c r="T44" s="77"/>
      <c r="U44" s="385"/>
      <c r="W44" s="455"/>
      <c r="Y44" s="385"/>
      <c r="Z44" s="77"/>
      <c r="AA44" s="385"/>
      <c r="AC44" s="435"/>
      <c r="AE44" s="385"/>
      <c r="AG44" s="465"/>
    </row>
    <row r="45" spans="1:35" ht="21.75" customHeight="1" x14ac:dyDescent="0.4">
      <c r="A45" s="117" t="s">
        <v>196</v>
      </c>
      <c r="C45" s="444">
        <f>C19-C43</f>
        <v>46415</v>
      </c>
      <c r="D45" s="284"/>
      <c r="E45" s="444">
        <f>E19-E43</f>
        <v>7827</v>
      </c>
      <c r="F45" s="285"/>
      <c r="G45" s="133">
        <f>G19-G43</f>
        <v>2937</v>
      </c>
      <c r="H45" s="284"/>
      <c r="I45" s="444">
        <f>I19-I43</f>
        <v>63659</v>
      </c>
      <c r="J45" s="284"/>
      <c r="K45" s="444">
        <f>K19-K43</f>
        <v>68495</v>
      </c>
      <c r="L45" s="285"/>
      <c r="M45" s="133">
        <f>M19-M43</f>
        <v>50576</v>
      </c>
      <c r="N45" s="284"/>
      <c r="O45" s="133">
        <f>O19-O43</f>
        <v>-13881</v>
      </c>
      <c r="P45" s="284"/>
      <c r="Q45" s="444">
        <f>Q19-Q43</f>
        <v>-60838</v>
      </c>
      <c r="R45" s="285"/>
      <c r="S45" s="133">
        <f>S19-S43</f>
        <v>-35501</v>
      </c>
      <c r="T45" s="284"/>
      <c r="U45" s="377">
        <f>U19-U43</f>
        <v>0</v>
      </c>
      <c r="V45" s="286"/>
      <c r="W45" s="581">
        <f>W19-W43</f>
        <v>0</v>
      </c>
      <c r="X45" s="287"/>
      <c r="Y45" s="377">
        <f>Y19-Y43</f>
        <v>0</v>
      </c>
      <c r="Z45" s="284"/>
      <c r="AA45" s="133">
        <f>AA19-AA43</f>
        <v>96193</v>
      </c>
      <c r="AB45" s="284"/>
      <c r="AC45" s="444">
        <f>AC19-AC43</f>
        <v>15484</v>
      </c>
      <c r="AD45" s="285"/>
      <c r="AE45" s="133">
        <f>AE19-AE43</f>
        <v>18012</v>
      </c>
      <c r="AF45" s="536"/>
      <c r="AG45" s="537">
        <f>+AE45/AC45-1</f>
        <v>0.16326530612244894</v>
      </c>
    </row>
    <row r="46" spans="1:35" ht="18" x14ac:dyDescent="0.4">
      <c r="A46" s="117"/>
      <c r="C46" s="133"/>
      <c r="D46" s="85"/>
      <c r="E46" s="444"/>
      <c r="G46" s="133"/>
      <c r="H46" s="168"/>
      <c r="I46" s="133"/>
      <c r="J46" s="85"/>
      <c r="K46" s="444"/>
      <c r="M46" s="133"/>
      <c r="N46" s="168"/>
      <c r="O46" s="133"/>
      <c r="P46" s="85"/>
      <c r="Q46" s="133"/>
      <c r="S46" s="133"/>
      <c r="T46" s="168"/>
      <c r="U46" s="133"/>
      <c r="V46" s="85"/>
      <c r="W46" s="581"/>
      <c r="Y46" s="133"/>
      <c r="Z46" s="168"/>
      <c r="AA46" s="133"/>
      <c r="AB46" s="85"/>
      <c r="AC46" s="444"/>
      <c r="AE46" s="133"/>
      <c r="AG46" s="465"/>
    </row>
    <row r="47" spans="1:35" ht="18" x14ac:dyDescent="0.4">
      <c r="A47" s="117"/>
      <c r="C47" s="522">
        <f>C25/C15</f>
        <v>0.26173679097227415</v>
      </c>
      <c r="D47" s="522"/>
      <c r="E47" s="522">
        <f>E25/E15</f>
        <v>0.17583421014818557</v>
      </c>
      <c r="F47" s="522"/>
      <c r="G47" s="522">
        <f>G25/G15</f>
        <v>0.19494904740806379</v>
      </c>
      <c r="H47" s="168"/>
      <c r="I47" s="133"/>
      <c r="J47" s="85"/>
      <c r="K47" s="133"/>
      <c r="M47" s="133"/>
      <c r="N47" s="168"/>
      <c r="O47" s="133"/>
      <c r="P47" s="85"/>
      <c r="Q47" s="133"/>
      <c r="S47" s="133"/>
      <c r="T47" s="168"/>
      <c r="U47" s="133"/>
      <c r="V47" s="85"/>
      <c r="W47" s="582"/>
      <c r="Y47" s="133"/>
      <c r="Z47" s="168"/>
      <c r="AA47" s="133"/>
      <c r="AB47" s="85"/>
      <c r="AC47" s="444"/>
      <c r="AE47" s="133"/>
      <c r="AG47" s="465"/>
    </row>
    <row r="48" spans="1:35" ht="18" x14ac:dyDescent="0.4">
      <c r="A48" s="117"/>
      <c r="C48" s="133"/>
      <c r="D48" s="85"/>
      <c r="E48" s="133"/>
      <c r="G48" s="133"/>
      <c r="H48" s="168"/>
      <c r="I48" s="133"/>
      <c r="J48" s="85"/>
      <c r="K48" s="133"/>
      <c r="M48" s="133"/>
      <c r="N48" s="168"/>
      <c r="O48" s="133"/>
      <c r="P48" s="85"/>
      <c r="Q48" s="133"/>
      <c r="S48" s="133"/>
      <c r="T48" s="168"/>
      <c r="U48" s="374"/>
      <c r="V48" s="85"/>
      <c r="W48" s="582"/>
      <c r="Y48" s="133"/>
      <c r="Z48" s="168"/>
      <c r="AA48" s="133"/>
      <c r="AB48" s="85"/>
      <c r="AC48" s="444"/>
      <c r="AE48" s="133"/>
    </row>
    <row r="49" spans="1:31" ht="18.75" thickBot="1" x14ac:dyDescent="0.45">
      <c r="A49" s="117"/>
      <c r="C49" s="133"/>
      <c r="D49" s="85"/>
      <c r="E49" s="133"/>
      <c r="G49" s="133"/>
      <c r="H49" s="168"/>
      <c r="I49" s="133"/>
      <c r="J49" s="85"/>
      <c r="K49" s="133"/>
      <c r="M49" s="133"/>
      <c r="N49" s="168"/>
      <c r="O49" s="133"/>
      <c r="P49" s="85"/>
      <c r="Q49" s="133"/>
      <c r="S49" s="133"/>
      <c r="T49" s="168"/>
      <c r="U49" s="374"/>
      <c r="V49" s="85"/>
      <c r="W49" s="582"/>
      <c r="Y49" s="133"/>
      <c r="Z49" s="168"/>
      <c r="AA49" s="133"/>
      <c r="AB49" s="85"/>
      <c r="AC49" s="444"/>
      <c r="AE49" s="133"/>
    </row>
    <row r="50" spans="1:31" ht="19.5" thickBot="1" x14ac:dyDescent="0.35">
      <c r="A50" s="95" t="s">
        <v>208</v>
      </c>
      <c r="C50" s="96" t="s">
        <v>205</v>
      </c>
      <c r="D50" s="97"/>
      <c r="E50" s="96"/>
      <c r="F50" s="97"/>
    </row>
    <row r="51" spans="1:31" ht="18" x14ac:dyDescent="0.4">
      <c r="C51" s="99" t="s">
        <v>361</v>
      </c>
      <c r="D51" s="100"/>
      <c r="E51" s="99" t="s">
        <v>206</v>
      </c>
      <c r="F51" s="100"/>
    </row>
    <row r="52" spans="1:31" ht="18" x14ac:dyDescent="0.4">
      <c r="A52" s="75" t="s">
        <v>331</v>
      </c>
      <c r="C52" s="99"/>
      <c r="D52" s="100"/>
      <c r="E52" s="99"/>
      <c r="F52" s="100"/>
      <c r="AC52" s="319">
        <f>AC45-'Estimating Schedule - UF'!AG45</f>
        <v>0</v>
      </c>
    </row>
    <row r="53" spans="1:31" ht="18.75" x14ac:dyDescent="0.3">
      <c r="A53" s="75" t="s">
        <v>332</v>
      </c>
      <c r="E53" s="121" t="s">
        <v>208</v>
      </c>
    </row>
    <row r="54" spans="1:31" x14ac:dyDescent="0.25">
      <c r="A54" s="75" t="s">
        <v>333</v>
      </c>
      <c r="C54" s="101">
        <f>G19/AE19</f>
        <v>0.20909738294463237</v>
      </c>
      <c r="D54" s="102"/>
      <c r="E54" s="101">
        <v>0.25</v>
      </c>
      <c r="F54" s="102"/>
      <c r="I54" s="101">
        <f>-E42/W42</f>
        <v>0.25000185670679631</v>
      </c>
      <c r="K54" s="319">
        <f>K57*E54</f>
        <v>33661.75</v>
      </c>
      <c r="M54" s="319">
        <f>M57*E54</f>
        <v>30562.5</v>
      </c>
      <c r="O54" s="319">
        <f>O57*I54</f>
        <v>26757.698723328409</v>
      </c>
    </row>
    <row r="55" spans="1:31" x14ac:dyDescent="0.25">
      <c r="A55" s="75" t="s">
        <v>334</v>
      </c>
      <c r="C55" s="101">
        <f>M19/AE19</f>
        <v>0.518871283603347</v>
      </c>
      <c r="D55" s="102"/>
      <c r="E55" s="101">
        <v>0.5</v>
      </c>
      <c r="F55" s="102"/>
      <c r="I55" s="101">
        <f>-K42/W42</f>
        <v>0.49999628658640743</v>
      </c>
      <c r="K55" s="319">
        <f>K57*E55</f>
        <v>67323.5</v>
      </c>
      <c r="M55" s="319">
        <f>M57*E55-1</f>
        <v>61124</v>
      </c>
      <c r="O55" s="319">
        <f>O57*I55</f>
        <v>53514.602553343189</v>
      </c>
    </row>
    <row r="56" spans="1:31" ht="18" x14ac:dyDescent="0.4">
      <c r="A56" s="75" t="s">
        <v>335</v>
      </c>
      <c r="C56" s="104">
        <f>S19/AE19</f>
        <v>0.27203133345202063</v>
      </c>
      <c r="D56" s="105"/>
      <c r="E56" s="104">
        <v>0.25</v>
      </c>
      <c r="F56" s="102"/>
      <c r="I56" s="101">
        <f>-Q42/W42</f>
        <v>0.25000185670679631</v>
      </c>
      <c r="K56" s="153">
        <f>K57*E56</f>
        <v>33661.75</v>
      </c>
      <c r="M56" s="153">
        <f>M57*E56</f>
        <v>30562.5</v>
      </c>
      <c r="O56" s="153">
        <f>O57*I56</f>
        <v>26757.698723328409</v>
      </c>
    </row>
    <row r="57" spans="1:31" ht="18" x14ac:dyDescent="0.4">
      <c r="A57" s="75" t="s">
        <v>207</v>
      </c>
      <c r="C57" s="107">
        <f>SUM(C54:C56)</f>
        <v>1</v>
      </c>
      <c r="D57" s="108"/>
      <c r="E57" s="107">
        <f>SUM(E54:E56)</f>
        <v>1</v>
      </c>
      <c r="F57" s="102"/>
      <c r="K57" s="538">
        <v>134647</v>
      </c>
      <c r="L57" s="539"/>
      <c r="M57" s="538">
        <v>122250</v>
      </c>
      <c r="O57" s="538">
        <v>107030</v>
      </c>
    </row>
    <row r="58" spans="1:31" x14ac:dyDescent="0.25">
      <c r="C58" s="101"/>
      <c r="D58" s="102"/>
      <c r="E58" s="101"/>
      <c r="F58" s="102"/>
    </row>
  </sheetData>
  <phoneticPr fontId="0" type="noConversion"/>
  <printOptions horizontalCentered="1"/>
  <pageMargins left="0" right="0" top="1" bottom="0.25" header="0.25" footer="0"/>
  <pageSetup scale="61" orientation="landscape" r:id="rId1"/>
  <headerFooter alignWithMargins="0">
    <oddFooter>&amp;L&amp;"Times New Roman,Regular"&amp;9&amp;D&amp;C&amp;"Times New Roman,Regular"&amp;9&amp;Z&amp;F&amp;R&amp;"Times New Roman,Regular"&amp;9&amp;A</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N43"/>
  <sheetViews>
    <sheetView workbookViewId="0">
      <selection activeCell="A7" sqref="A7:XFD10"/>
    </sheetView>
  </sheetViews>
  <sheetFormatPr defaultRowHeight="15.75" x14ac:dyDescent="0.25"/>
  <sheetData>
    <row r="15" spans="1:8" x14ac:dyDescent="0.25">
      <c r="A15" s="623" t="s">
        <v>317</v>
      </c>
      <c r="B15" s="623"/>
      <c r="C15" s="623"/>
      <c r="D15" s="623"/>
      <c r="E15" s="623"/>
      <c r="F15" s="623"/>
      <c r="G15" s="623"/>
      <c r="H15" s="623"/>
    </row>
    <row r="43" spans="14:14" x14ac:dyDescent="0.25">
      <c r="N43" t="s">
        <v>19</v>
      </c>
    </row>
  </sheetData>
  <mergeCells count="1">
    <mergeCell ref="A15:H15"/>
  </mergeCells>
  <printOptions horizontalCentered="1" verticalCentered="1"/>
  <pageMargins left="0.7" right="0.7" top="1" bottom="0.75" header="0.3" footer="0.3"/>
  <pageSetup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Q202"/>
  <sheetViews>
    <sheetView showGridLines="0" view="pageBreakPreview" topLeftCell="A51" zoomScaleNormal="75" zoomScaleSheetLayoutView="100" workbookViewId="0">
      <selection activeCell="M61" sqref="M61"/>
    </sheetView>
  </sheetViews>
  <sheetFormatPr defaultColWidth="9.77734375" defaultRowHeight="15.75" x14ac:dyDescent="0.25"/>
  <cols>
    <col min="1" max="1" width="30.6640625" style="1" customWidth="1"/>
    <col min="2" max="2" width="6.6640625" style="1" customWidth="1"/>
    <col min="3" max="3" width="13.109375" style="1" bestFit="1" customWidth="1"/>
    <col min="4" max="4" width="0.6640625" style="1" customWidth="1"/>
    <col min="5" max="5" width="10.44140625" style="76" customWidth="1"/>
    <col min="6" max="6" width="0.88671875" style="1" customWidth="1"/>
    <col min="7" max="7" width="10.77734375" style="21" customWidth="1"/>
    <col min="8" max="8" width="0.88671875" style="1" customWidth="1"/>
    <col min="9" max="9" width="10.77734375" style="21" customWidth="1"/>
    <col min="10" max="10" width="0.88671875" style="1" customWidth="1"/>
    <col min="11" max="11" width="9" style="1" customWidth="1"/>
    <col min="12" max="12" width="10.77734375" style="1" customWidth="1"/>
    <col min="13" max="13" width="9.77734375" style="1"/>
    <col min="14" max="14" width="10.77734375" style="1" customWidth="1"/>
    <col min="15" max="16384" width="9.77734375" style="1"/>
  </cols>
  <sheetData>
    <row r="1" spans="1:11" x14ac:dyDescent="0.25">
      <c r="K1" s="19" t="s">
        <v>304</v>
      </c>
    </row>
    <row r="2" spans="1:11" x14ac:dyDescent="0.25">
      <c r="A2" s="615" t="s">
        <v>45</v>
      </c>
      <c r="B2" s="615"/>
      <c r="C2" s="615"/>
      <c r="D2" s="615"/>
      <c r="E2" s="615"/>
      <c r="F2" s="615"/>
      <c r="G2" s="615"/>
      <c r="H2" s="615"/>
      <c r="I2" s="615"/>
      <c r="J2" s="615"/>
      <c r="K2" s="615"/>
    </row>
    <row r="3" spans="1:11" x14ac:dyDescent="0.25">
      <c r="A3" s="615" t="s">
        <v>216</v>
      </c>
      <c r="B3" s="615"/>
      <c r="C3" s="615"/>
      <c r="D3" s="615"/>
      <c r="E3" s="615"/>
      <c r="F3" s="615"/>
      <c r="G3" s="615"/>
      <c r="H3" s="615"/>
      <c r="I3" s="615"/>
      <c r="J3" s="615"/>
      <c r="K3" s="615"/>
    </row>
    <row r="4" spans="1:11" x14ac:dyDescent="0.25">
      <c r="A4" s="624" t="s">
        <v>305</v>
      </c>
      <c r="B4" s="624"/>
      <c r="C4" s="624"/>
      <c r="D4" s="624"/>
      <c r="E4" s="624"/>
      <c r="F4" s="624"/>
      <c r="G4" s="624"/>
      <c r="H4" s="624"/>
      <c r="I4" s="624"/>
      <c r="J4" s="624"/>
      <c r="K4" s="624"/>
    </row>
    <row r="5" spans="1:11" x14ac:dyDescent="0.25">
      <c r="A5" s="615" t="s">
        <v>505</v>
      </c>
      <c r="B5" s="615"/>
      <c r="C5" s="615"/>
      <c r="D5" s="615"/>
      <c r="E5" s="615"/>
      <c r="F5" s="615"/>
      <c r="G5" s="615"/>
      <c r="H5" s="615"/>
      <c r="I5" s="615"/>
      <c r="J5" s="615"/>
      <c r="K5" s="615"/>
    </row>
    <row r="8" spans="1:11" x14ac:dyDescent="0.25">
      <c r="E8" s="113" t="s">
        <v>96</v>
      </c>
      <c r="F8" s="5"/>
      <c r="G8" s="23"/>
      <c r="H8" s="5"/>
      <c r="I8" s="23"/>
    </row>
    <row r="9" spans="1:11" x14ac:dyDescent="0.25">
      <c r="C9" s="6" t="s">
        <v>365</v>
      </c>
      <c r="E9" s="152" t="s">
        <v>330</v>
      </c>
      <c r="F9" s="70"/>
      <c r="G9" s="152" t="s">
        <v>326</v>
      </c>
      <c r="H9" s="70"/>
      <c r="I9" s="25">
        <v>2020</v>
      </c>
      <c r="K9" s="6" t="s">
        <v>363</v>
      </c>
    </row>
    <row r="10" spans="1:11" x14ac:dyDescent="0.25">
      <c r="C10" s="190" t="s">
        <v>83</v>
      </c>
      <c r="E10" s="120" t="s">
        <v>81</v>
      </c>
      <c r="G10" s="27" t="s">
        <v>82</v>
      </c>
      <c r="I10" s="288" t="s">
        <v>82</v>
      </c>
      <c r="K10" s="190" t="s">
        <v>364</v>
      </c>
    </row>
    <row r="11" spans="1:11" x14ac:dyDescent="0.25">
      <c r="A11" s="2" t="s">
        <v>0</v>
      </c>
    </row>
    <row r="12" spans="1:11" x14ac:dyDescent="0.25">
      <c r="A12" s="1" t="s">
        <v>1</v>
      </c>
      <c r="C12" s="84">
        <v>163800</v>
      </c>
      <c r="E12" s="437">
        <f>E53</f>
        <v>173720</v>
      </c>
      <c r="F12" s="427"/>
      <c r="G12" s="429">
        <f>I12-E12</f>
        <v>1492</v>
      </c>
      <c r="H12" s="427"/>
      <c r="I12" s="429">
        <f>I53</f>
        <v>175212</v>
      </c>
      <c r="J12" s="427"/>
      <c r="K12" s="448">
        <f t="shared" ref="K12:K17" si="0">+I12/C12-1</f>
        <v>6.96703296703296E-2</v>
      </c>
    </row>
    <row r="13" spans="1:11" x14ac:dyDescent="0.25">
      <c r="A13" s="1" t="s">
        <v>2</v>
      </c>
      <c r="C13" s="66">
        <v>125900</v>
      </c>
      <c r="E13" s="435">
        <f>E58</f>
        <v>114344</v>
      </c>
      <c r="F13" s="427"/>
      <c r="G13" s="435">
        <f>I13-E13</f>
        <v>1750</v>
      </c>
      <c r="H13" s="427"/>
      <c r="I13" s="430">
        <f>I58</f>
        <v>116094</v>
      </c>
      <c r="J13" s="427"/>
      <c r="K13" s="448">
        <f t="shared" si="0"/>
        <v>-7.7887212073073919E-2</v>
      </c>
    </row>
    <row r="14" spans="1:11" x14ac:dyDescent="0.25">
      <c r="A14" s="1" t="s">
        <v>3</v>
      </c>
      <c r="C14" s="66">
        <v>117633</v>
      </c>
      <c r="E14" s="435">
        <f>E68</f>
        <v>40538</v>
      </c>
      <c r="F14" s="427"/>
      <c r="G14" s="430">
        <f>I14-E14</f>
        <v>61560</v>
      </c>
      <c r="H14" s="427"/>
      <c r="I14" s="430">
        <f>I68</f>
        <v>102098</v>
      </c>
      <c r="J14" s="427"/>
      <c r="K14" s="448">
        <f t="shared" si="0"/>
        <v>-0.13206328156214664</v>
      </c>
    </row>
    <row r="15" spans="1:11" x14ac:dyDescent="0.25">
      <c r="A15" s="1" t="s">
        <v>4</v>
      </c>
      <c r="C15" s="66">
        <v>560000</v>
      </c>
      <c r="E15" s="435">
        <f>E71</f>
        <v>482464</v>
      </c>
      <c r="F15" s="427"/>
      <c r="G15" s="430">
        <f>I15-E15</f>
        <v>80000</v>
      </c>
      <c r="H15" s="427"/>
      <c r="I15" s="430">
        <f>I71</f>
        <v>562464</v>
      </c>
      <c r="J15" s="427"/>
      <c r="K15" s="448">
        <f t="shared" si="0"/>
        <v>4.3999999999999595E-3</v>
      </c>
    </row>
    <row r="16" spans="1:11" ht="18" x14ac:dyDescent="0.4">
      <c r="A16" s="1" t="s">
        <v>5</v>
      </c>
      <c r="C16" s="109">
        <v>72900</v>
      </c>
      <c r="E16" s="432">
        <f>E83</f>
        <v>72978</v>
      </c>
      <c r="F16" s="427"/>
      <c r="G16" s="431">
        <f>I16-E16</f>
        <v>2727</v>
      </c>
      <c r="H16" s="427"/>
      <c r="I16" s="431">
        <f>I83</f>
        <v>75705</v>
      </c>
      <c r="J16" s="427"/>
      <c r="K16" s="449">
        <f t="shared" si="0"/>
        <v>3.8477366255144085E-2</v>
      </c>
    </row>
    <row r="17" spans="1:14" ht="18" x14ac:dyDescent="0.4">
      <c r="A17" s="1" t="s">
        <v>97</v>
      </c>
      <c r="C17" s="434">
        <f>SUM(C12:C16)</f>
        <v>1040233</v>
      </c>
      <c r="E17" s="432">
        <f>SUM(E12:E16)</f>
        <v>884044</v>
      </c>
      <c r="F17" s="438"/>
      <c r="G17" s="431">
        <f>SUM(G12:G16)</f>
        <v>147529</v>
      </c>
      <c r="H17" s="438"/>
      <c r="I17" s="431">
        <f>SUM(I12:I16)</f>
        <v>1031573</v>
      </c>
      <c r="J17" s="427"/>
      <c r="K17" s="449">
        <f t="shared" si="0"/>
        <v>-8.325057943749159E-3</v>
      </c>
      <c r="L17" s="48"/>
      <c r="M17" s="48"/>
    </row>
    <row r="18" spans="1:14" x14ac:dyDescent="0.25">
      <c r="E18" s="66"/>
      <c r="F18" s="4"/>
      <c r="G18" s="30"/>
      <c r="H18" s="4"/>
      <c r="I18" s="30"/>
    </row>
    <row r="19" spans="1:14" x14ac:dyDescent="0.25">
      <c r="A19" s="2" t="s">
        <v>7</v>
      </c>
      <c r="E19" s="66"/>
      <c r="F19" s="4"/>
      <c r="G19" s="30"/>
      <c r="H19" s="4"/>
      <c r="I19" s="30"/>
    </row>
    <row r="20" spans="1:14" x14ac:dyDescent="0.25">
      <c r="A20" s="1" t="s">
        <v>8</v>
      </c>
      <c r="C20" s="66">
        <v>212450</v>
      </c>
      <c r="E20" s="435">
        <f>E118</f>
        <v>201598</v>
      </c>
      <c r="F20" s="438"/>
      <c r="G20" s="430">
        <f t="shared" ref="G20:G24" si="1">I20-E20</f>
        <v>23378</v>
      </c>
      <c r="H20" s="438"/>
      <c r="I20" s="430">
        <f>I118</f>
        <v>224976</v>
      </c>
      <c r="J20" s="427"/>
      <c r="K20" s="448">
        <f>+I20/C20-1</f>
        <v>5.895975523652619E-2</v>
      </c>
      <c r="L20" s="48"/>
    </row>
    <row r="21" spans="1:14" x14ac:dyDescent="0.25">
      <c r="A21" s="1" t="s">
        <v>98</v>
      </c>
      <c r="C21" s="66"/>
      <c r="E21" s="435"/>
      <c r="F21" s="438"/>
      <c r="G21" s="430"/>
      <c r="H21" s="438"/>
      <c r="I21" s="430"/>
      <c r="J21" s="427"/>
      <c r="K21" s="427"/>
    </row>
    <row r="22" spans="1:14" x14ac:dyDescent="0.25">
      <c r="A22" s="1" t="s">
        <v>99</v>
      </c>
      <c r="C22" s="66">
        <v>798000</v>
      </c>
      <c r="E22" s="435">
        <f>E146</f>
        <v>710043</v>
      </c>
      <c r="F22" s="438"/>
      <c r="G22" s="430">
        <f t="shared" si="1"/>
        <v>127397</v>
      </c>
      <c r="H22" s="430">
        <f>H146</f>
        <v>0</v>
      </c>
      <c r="I22" s="430">
        <f>I146</f>
        <v>837440</v>
      </c>
      <c r="J22" s="427"/>
      <c r="K22" s="448">
        <f>+I22/C22-1</f>
        <v>4.9423558897243147E-2</v>
      </c>
    </row>
    <row r="23" spans="1:14" x14ac:dyDescent="0.25">
      <c r="A23" s="1" t="s">
        <v>11</v>
      </c>
      <c r="C23" s="66">
        <v>161773</v>
      </c>
      <c r="E23" s="435">
        <f>E183</f>
        <v>113969</v>
      </c>
      <c r="F23" s="438"/>
      <c r="G23" s="430">
        <f t="shared" si="1"/>
        <v>18246</v>
      </c>
      <c r="H23" s="430">
        <f>H183</f>
        <v>0</v>
      </c>
      <c r="I23" s="430">
        <f>I183</f>
        <v>132215</v>
      </c>
      <c r="J23" s="427"/>
      <c r="K23" s="448">
        <f>+I23/C23-1</f>
        <v>-0.18271281363391911</v>
      </c>
    </row>
    <row r="24" spans="1:14" x14ac:dyDescent="0.25">
      <c r="A24" s="1" t="s">
        <v>13</v>
      </c>
      <c r="C24" s="66">
        <v>33712</v>
      </c>
      <c r="E24" s="435">
        <f>E198</f>
        <v>51892</v>
      </c>
      <c r="F24" s="438"/>
      <c r="G24" s="430">
        <f t="shared" si="1"/>
        <v>0</v>
      </c>
      <c r="H24" s="430">
        <f>H198</f>
        <v>0</v>
      </c>
      <c r="I24" s="430">
        <f>I198</f>
        <v>51892</v>
      </c>
      <c r="J24" s="427"/>
      <c r="K24" s="448">
        <v>0</v>
      </c>
    </row>
    <row r="25" spans="1:14" ht="18" x14ac:dyDescent="0.4">
      <c r="A25" s="1" t="s">
        <v>100</v>
      </c>
      <c r="C25" s="383">
        <v>60200</v>
      </c>
      <c r="E25" s="432">
        <f>E193</f>
        <v>27401</v>
      </c>
      <c r="F25" s="438"/>
      <c r="G25" s="521">
        <v>0</v>
      </c>
      <c r="H25" s="431" t="e">
        <f>#REF!</f>
        <v>#REF!</v>
      </c>
      <c r="I25" s="432">
        <f>I193</f>
        <v>27401</v>
      </c>
      <c r="J25" s="427"/>
      <c r="K25" s="449">
        <f>+I25/C25-1</f>
        <v>-0.54483388704318936</v>
      </c>
    </row>
    <row r="26" spans="1:14" ht="18" x14ac:dyDescent="0.4">
      <c r="A26" s="1" t="s">
        <v>14</v>
      </c>
      <c r="C26" s="434">
        <f>SUM(C20:C25)</f>
        <v>1266135</v>
      </c>
      <c r="E26" s="432">
        <f>SUM(E20:E25)</f>
        <v>1104903</v>
      </c>
      <c r="F26" s="438"/>
      <c r="G26" s="431">
        <f>SUM(G20:G25)</f>
        <v>169021</v>
      </c>
      <c r="H26" s="438"/>
      <c r="I26" s="431">
        <f>SUM(I20:I25)</f>
        <v>1273924</v>
      </c>
      <c r="J26" s="427"/>
      <c r="K26" s="449">
        <f>+I26/C26-1</f>
        <v>6.1517926603402717E-3</v>
      </c>
      <c r="L26" s="48"/>
      <c r="M26" s="48"/>
    </row>
    <row r="27" spans="1:14" x14ac:dyDescent="0.25">
      <c r="A27" s="1" t="s">
        <v>101</v>
      </c>
      <c r="C27" s="66"/>
      <c r="E27" s="66"/>
      <c r="F27" s="4"/>
      <c r="G27" s="30"/>
      <c r="H27" s="4"/>
      <c r="I27" s="30"/>
      <c r="L27" s="48"/>
      <c r="M27" s="48">
        <f>M17-M26</f>
        <v>0</v>
      </c>
    </row>
    <row r="28" spans="1:14" x14ac:dyDescent="0.25">
      <c r="A28" s="1" t="s">
        <v>86</v>
      </c>
      <c r="C28" s="66"/>
      <c r="E28" s="66"/>
      <c r="F28" s="4"/>
      <c r="G28" s="30"/>
      <c r="H28" s="4"/>
      <c r="I28" s="30"/>
      <c r="L28" s="48"/>
      <c r="M28" s="48"/>
    </row>
    <row r="29" spans="1:14" ht="18" x14ac:dyDescent="0.4">
      <c r="A29" s="1" t="s">
        <v>273</v>
      </c>
      <c r="C29" s="432">
        <f>C17-C26</f>
        <v>-225902</v>
      </c>
      <c r="D29" s="135"/>
      <c r="E29" s="432">
        <f>E17-E26</f>
        <v>-220859</v>
      </c>
      <c r="F29" s="441"/>
      <c r="G29" s="431">
        <f>G17-G26</f>
        <v>-21492</v>
      </c>
      <c r="H29" s="441"/>
      <c r="I29" s="431">
        <f>I17-I26</f>
        <v>-242351</v>
      </c>
      <c r="J29" s="442"/>
      <c r="K29" s="451">
        <f>+I29/C29-1</f>
        <v>7.2814760382820864E-2</v>
      </c>
      <c r="N29" s="1" t="s">
        <v>19</v>
      </c>
    </row>
    <row r="30" spans="1:14" x14ac:dyDescent="0.25">
      <c r="C30" s="66"/>
      <c r="E30" s="66"/>
      <c r="F30" s="4"/>
      <c r="G30" s="30"/>
      <c r="H30" s="4"/>
      <c r="I30" s="30"/>
      <c r="M30" s="48">
        <f>N99</f>
        <v>0</v>
      </c>
    </row>
    <row r="31" spans="1:14" x14ac:dyDescent="0.25">
      <c r="A31" s="2" t="s">
        <v>102</v>
      </c>
      <c r="C31" s="66"/>
      <c r="E31" s="66"/>
      <c r="F31" s="4"/>
      <c r="G31" s="30"/>
      <c r="H31" s="4"/>
      <c r="I31" s="30"/>
    </row>
    <row r="32" spans="1:14" s="368" customFormat="1" x14ac:dyDescent="0.25">
      <c r="A32" s="320" t="s">
        <v>502</v>
      </c>
      <c r="C32" s="385">
        <v>0</v>
      </c>
      <c r="E32" s="435">
        <v>0</v>
      </c>
      <c r="F32" s="4"/>
      <c r="G32" s="379">
        <v>0</v>
      </c>
      <c r="H32" s="4"/>
      <c r="I32" s="430">
        <f>E32+G32</f>
        <v>0</v>
      </c>
      <c r="J32" s="427"/>
      <c r="K32" s="448">
        <v>0</v>
      </c>
    </row>
    <row r="33" spans="1:13" ht="18" x14ac:dyDescent="0.4">
      <c r="A33" s="43" t="s">
        <v>452</v>
      </c>
      <c r="C33" s="252">
        <v>250000</v>
      </c>
      <c r="D33" s="135"/>
      <c r="E33" s="109">
        <v>0</v>
      </c>
      <c r="F33" s="169"/>
      <c r="G33" s="109">
        <v>250000</v>
      </c>
      <c r="H33" s="169"/>
      <c r="I33" s="434">
        <f>E33+G33</f>
        <v>250000</v>
      </c>
      <c r="J33" s="427"/>
      <c r="K33" s="449">
        <f>+I33/C33-1</f>
        <v>0</v>
      </c>
      <c r="M33" s="48"/>
    </row>
    <row r="34" spans="1:13" ht="18" x14ac:dyDescent="0.4">
      <c r="A34" s="398" t="s">
        <v>503</v>
      </c>
      <c r="C34" s="399">
        <f>SUM(C32:C33)</f>
        <v>250000</v>
      </c>
      <c r="D34" s="135"/>
      <c r="E34" s="399">
        <f>SUM(E32:E33)</f>
        <v>0</v>
      </c>
      <c r="F34" s="161"/>
      <c r="G34" s="399">
        <f>SUM(G32:G33)</f>
        <v>250000</v>
      </c>
      <c r="H34" s="161"/>
      <c r="I34" s="543">
        <f>SUM(I32:I33)</f>
        <v>250000</v>
      </c>
      <c r="J34" s="135"/>
      <c r="K34" s="260">
        <f>+I34/C34-1</f>
        <v>0</v>
      </c>
      <c r="M34" s="179"/>
    </row>
    <row r="35" spans="1:13" s="368" customFormat="1" ht="18" x14ac:dyDescent="0.4">
      <c r="A35" s="320"/>
      <c r="E35" s="385"/>
      <c r="F35" s="4"/>
      <c r="G35" s="379"/>
      <c r="H35" s="4"/>
      <c r="I35" s="379"/>
      <c r="M35" s="303"/>
    </row>
    <row r="36" spans="1:13" x14ac:dyDescent="0.25">
      <c r="A36" s="1" t="s">
        <v>329</v>
      </c>
      <c r="E36" s="66"/>
      <c r="F36" s="4"/>
      <c r="G36" s="30"/>
      <c r="H36" s="4"/>
      <c r="I36" s="30"/>
    </row>
    <row r="37" spans="1:13" ht="18" x14ac:dyDescent="0.4">
      <c r="A37" s="1" t="s">
        <v>103</v>
      </c>
      <c r="C37" s="444">
        <f>C29+C34</f>
        <v>24098</v>
      </c>
      <c r="D37" s="427"/>
      <c r="E37" s="444">
        <f>E29+E34</f>
        <v>-220859</v>
      </c>
      <c r="F37" s="444"/>
      <c r="G37" s="444">
        <f>G29+G34</f>
        <v>228508</v>
      </c>
      <c r="H37" s="444"/>
      <c r="I37" s="444">
        <f>I29+I34</f>
        <v>7649</v>
      </c>
      <c r="J37" s="427"/>
      <c r="K37" s="450">
        <f>+I37/C37-1</f>
        <v>-0.68258776661963649</v>
      </c>
    </row>
    <row r="39" spans="1:13" x14ac:dyDescent="0.25">
      <c r="K39" s="19" t="s">
        <v>318</v>
      </c>
    </row>
    <row r="40" spans="1:13" x14ac:dyDescent="0.25">
      <c r="A40" s="615" t="s">
        <v>45</v>
      </c>
      <c r="B40" s="615"/>
      <c r="C40" s="615"/>
      <c r="D40" s="615"/>
      <c r="E40" s="615"/>
      <c r="F40" s="615"/>
      <c r="G40" s="615"/>
      <c r="H40" s="615"/>
      <c r="I40" s="615"/>
      <c r="J40" s="615"/>
      <c r="K40" s="615"/>
    </row>
    <row r="41" spans="1:13" x14ac:dyDescent="0.25">
      <c r="A41" s="615" t="s">
        <v>216</v>
      </c>
      <c r="B41" s="615"/>
      <c r="C41" s="615"/>
      <c r="D41" s="615"/>
      <c r="E41" s="615"/>
      <c r="F41" s="615"/>
      <c r="G41" s="615"/>
      <c r="H41" s="615"/>
      <c r="I41" s="615"/>
      <c r="J41" s="615"/>
      <c r="K41" s="615"/>
    </row>
    <row r="42" spans="1:13" x14ac:dyDescent="0.25">
      <c r="A42" s="615" t="s">
        <v>305</v>
      </c>
      <c r="B42" s="615"/>
      <c r="C42" s="615"/>
      <c r="D42" s="615"/>
      <c r="E42" s="615"/>
      <c r="F42" s="615"/>
      <c r="G42" s="615"/>
      <c r="H42" s="615"/>
      <c r="I42" s="615"/>
      <c r="J42" s="615"/>
      <c r="K42" s="615"/>
    </row>
    <row r="43" spans="1:13" x14ac:dyDescent="0.25">
      <c r="A43" s="615" t="str">
        <f>+A5</f>
        <v>Year Ending September 30, 2020</v>
      </c>
      <c r="B43" s="615"/>
      <c r="C43" s="615"/>
      <c r="D43" s="615"/>
      <c r="E43" s="615"/>
      <c r="F43" s="615"/>
      <c r="G43" s="615"/>
      <c r="H43" s="615"/>
      <c r="I43" s="615"/>
      <c r="J43" s="615"/>
      <c r="K43" s="615"/>
    </row>
    <row r="45" spans="1:13" x14ac:dyDescent="0.25">
      <c r="E45" s="619" t="s">
        <v>105</v>
      </c>
      <c r="F45" s="619"/>
      <c r="G45" s="619"/>
      <c r="H45" s="619"/>
      <c r="I45" s="619"/>
    </row>
    <row r="46" spans="1:13" x14ac:dyDescent="0.25">
      <c r="C46" s="6" t="s">
        <v>365</v>
      </c>
      <c r="E46" s="152" t="str">
        <f>+E9</f>
        <v xml:space="preserve">10 Months </v>
      </c>
      <c r="F46" s="70"/>
      <c r="G46" s="152" t="str">
        <f>+G9</f>
        <v xml:space="preserve">2 Months </v>
      </c>
      <c r="H46" s="70"/>
      <c r="I46" s="25">
        <f>I9</f>
        <v>2020</v>
      </c>
      <c r="K46" s="6" t="s">
        <v>363</v>
      </c>
    </row>
    <row r="47" spans="1:13" x14ac:dyDescent="0.25">
      <c r="C47" s="190" t="s">
        <v>83</v>
      </c>
      <c r="E47" s="120" t="s">
        <v>81</v>
      </c>
      <c r="G47" s="27" t="s">
        <v>82</v>
      </c>
      <c r="I47" s="27" t="s">
        <v>82</v>
      </c>
      <c r="K47" s="190" t="s">
        <v>364</v>
      </c>
    </row>
    <row r="48" spans="1:13" x14ac:dyDescent="0.25">
      <c r="A48" s="2" t="s">
        <v>0</v>
      </c>
    </row>
    <row r="49" spans="1:13" x14ac:dyDescent="0.25">
      <c r="A49" s="1" t="s">
        <v>106</v>
      </c>
      <c r="C49" s="84">
        <v>75500</v>
      </c>
      <c r="E49" s="293">
        <v>81241</v>
      </c>
      <c r="F49" s="84"/>
      <c r="G49" s="297">
        <v>100</v>
      </c>
      <c r="H49" s="3"/>
      <c r="I49" s="429">
        <f>E49+G49</f>
        <v>81341</v>
      </c>
      <c r="K49" s="448">
        <f>+I49/C49-1</f>
        <v>7.736423841059592E-2</v>
      </c>
      <c r="M49" s="167"/>
    </row>
    <row r="50" spans="1:13" x14ac:dyDescent="0.25">
      <c r="A50" s="43" t="s">
        <v>377</v>
      </c>
      <c r="C50" s="66">
        <v>1800</v>
      </c>
      <c r="E50" s="291">
        <v>4464</v>
      </c>
      <c r="F50" s="66"/>
      <c r="G50" s="296">
        <v>667</v>
      </c>
      <c r="H50" s="66"/>
      <c r="I50" s="430">
        <f>E50+G50</f>
        <v>5131</v>
      </c>
      <c r="K50" s="448">
        <f>+I50/C50-1</f>
        <v>1.8505555555555557</v>
      </c>
    </row>
    <row r="51" spans="1:13" x14ac:dyDescent="0.25">
      <c r="A51" s="1" t="s">
        <v>107</v>
      </c>
      <c r="E51" s="291"/>
      <c r="G51" s="294"/>
      <c r="I51" s="430"/>
      <c r="K51" s="427"/>
    </row>
    <row r="52" spans="1:13" ht="18" x14ac:dyDescent="0.4">
      <c r="A52" s="1" t="s">
        <v>108</v>
      </c>
      <c r="C52" s="68">
        <v>86500</v>
      </c>
      <c r="E52" s="292">
        <v>88015</v>
      </c>
      <c r="G52" s="295">
        <v>725</v>
      </c>
      <c r="I52" s="431">
        <f>E52+G52</f>
        <v>88740</v>
      </c>
      <c r="K52" s="449">
        <f>+I52/C52-1</f>
        <v>2.5895953757225421E-2</v>
      </c>
    </row>
    <row r="53" spans="1:13" ht="18" x14ac:dyDescent="0.4">
      <c r="A53" s="1" t="s">
        <v>109</v>
      </c>
      <c r="C53" s="432">
        <f>SUM(C49:C52)</f>
        <v>163800</v>
      </c>
      <c r="E53" s="68">
        <f>SUM(E49:E52)</f>
        <v>173720</v>
      </c>
      <c r="F53" s="4"/>
      <c r="G53" s="44">
        <f>I53-E53</f>
        <v>1492</v>
      </c>
      <c r="H53" s="4"/>
      <c r="I53" s="431">
        <f>SUM(I49:I52)</f>
        <v>175212</v>
      </c>
      <c r="K53" s="449">
        <f>+I53/C53-1</f>
        <v>6.96703296703296E-2</v>
      </c>
    </row>
    <row r="54" spans="1:13" x14ac:dyDescent="0.25">
      <c r="E54" s="66"/>
      <c r="F54" s="4"/>
      <c r="G54" s="30"/>
      <c r="H54" s="4"/>
      <c r="I54" s="430"/>
      <c r="K54" s="427"/>
    </row>
    <row r="55" spans="1:13" x14ac:dyDescent="0.25">
      <c r="A55" s="2" t="s">
        <v>110</v>
      </c>
      <c r="C55" s="66"/>
      <c r="E55" s="66"/>
      <c r="F55" s="4"/>
      <c r="G55" s="30"/>
      <c r="H55" s="4"/>
      <c r="I55" s="430"/>
      <c r="K55" s="427"/>
    </row>
    <row r="56" spans="1:13" x14ac:dyDescent="0.25">
      <c r="A56" s="1" t="s">
        <v>111</v>
      </c>
      <c r="C56" s="66">
        <v>104000</v>
      </c>
      <c r="E56" s="298">
        <v>102964</v>
      </c>
      <c r="F56" s="4"/>
      <c r="G56" s="385">
        <v>1000</v>
      </c>
      <c r="H56" s="4"/>
      <c r="I56" s="430">
        <f>E56+G56</f>
        <v>103964</v>
      </c>
      <c r="K56" s="448">
        <f>+I56/C56-1</f>
        <v>-3.4615384615388489E-4</v>
      </c>
    </row>
    <row r="57" spans="1:13" s="368" customFormat="1" ht="18" x14ac:dyDescent="0.4">
      <c r="A57" s="43" t="s">
        <v>506</v>
      </c>
      <c r="C57" s="365">
        <v>21900</v>
      </c>
      <c r="D57" s="135"/>
      <c r="E57" s="365">
        <v>11380</v>
      </c>
      <c r="F57" s="161"/>
      <c r="G57" s="365">
        <v>750</v>
      </c>
      <c r="H57" s="161"/>
      <c r="I57" s="433">
        <f>E57+G57</f>
        <v>12130</v>
      </c>
      <c r="J57" s="135"/>
      <c r="K57" s="449">
        <f>+I57/C57-1</f>
        <v>-0.44611872146118725</v>
      </c>
    </row>
    <row r="58" spans="1:13" ht="18" x14ac:dyDescent="0.4">
      <c r="A58" s="1" t="s">
        <v>112</v>
      </c>
      <c r="C58" s="434">
        <f>SUM(C56:C57)</f>
        <v>125900</v>
      </c>
      <c r="E58" s="68">
        <f>SUM(E56:E57)</f>
        <v>114344</v>
      </c>
      <c r="F58" s="4"/>
      <c r="G58" s="383">
        <f>SUM(G56:G57)</f>
        <v>1750</v>
      </c>
      <c r="H58" s="4"/>
      <c r="I58" s="431">
        <f>SUM(I56:I57)</f>
        <v>116094</v>
      </c>
      <c r="K58" s="449">
        <f>+I58/C58-1</f>
        <v>-7.7887212073073919E-2</v>
      </c>
    </row>
    <row r="59" spans="1:13" x14ac:dyDescent="0.25">
      <c r="E59" s="66"/>
      <c r="F59" s="4"/>
      <c r="G59" s="30"/>
      <c r="H59" s="4"/>
      <c r="I59" s="430"/>
    </row>
    <row r="60" spans="1:13" x14ac:dyDescent="0.25">
      <c r="A60" s="2" t="s">
        <v>113</v>
      </c>
      <c r="E60" s="66"/>
      <c r="F60" s="4"/>
      <c r="G60" s="30"/>
      <c r="H60" s="4"/>
      <c r="I60" s="430"/>
    </row>
    <row r="61" spans="1:13" x14ac:dyDescent="0.25">
      <c r="A61" s="1" t="s">
        <v>114</v>
      </c>
      <c r="C61" s="66"/>
      <c r="E61" s="66"/>
      <c r="F61" s="4"/>
      <c r="G61" s="30"/>
      <c r="H61" s="4"/>
      <c r="I61" s="430"/>
      <c r="K61" s="427"/>
    </row>
    <row r="62" spans="1:13" x14ac:dyDescent="0.25">
      <c r="A62" s="1" t="s">
        <v>115</v>
      </c>
      <c r="C62" s="66">
        <v>6800</v>
      </c>
      <c r="E62" s="299">
        <v>5863</v>
      </c>
      <c r="F62" s="4"/>
      <c r="G62" s="302">
        <v>0</v>
      </c>
      <c r="H62" s="4"/>
      <c r="I62" s="430">
        <f t="shared" ref="I62:I67" si="2">E62+G62</f>
        <v>5863</v>
      </c>
      <c r="K62" s="448">
        <f t="shared" ref="K62:K68" si="3">+I62/C62-1</f>
        <v>-0.13779411764705884</v>
      </c>
      <c r="L62" s="48"/>
    </row>
    <row r="63" spans="1:13" x14ac:dyDescent="0.25">
      <c r="A63" s="1" t="s">
        <v>422</v>
      </c>
      <c r="C63" s="225">
        <v>50000</v>
      </c>
      <c r="E63" s="299">
        <v>0</v>
      </c>
      <c r="F63" s="4"/>
      <c r="G63" s="302">
        <v>50000</v>
      </c>
      <c r="H63" s="4"/>
      <c r="I63" s="430">
        <f t="shared" si="2"/>
        <v>50000</v>
      </c>
      <c r="K63" s="448">
        <f t="shared" si="3"/>
        <v>0</v>
      </c>
    </row>
    <row r="64" spans="1:13" x14ac:dyDescent="0.25">
      <c r="A64" s="43" t="s">
        <v>235</v>
      </c>
      <c r="C64" s="66">
        <v>37200</v>
      </c>
      <c r="E64" s="299">
        <v>18333</v>
      </c>
      <c r="F64" s="4"/>
      <c r="G64" s="301">
        <v>7627</v>
      </c>
      <c r="H64" s="4"/>
      <c r="I64" s="430">
        <f t="shared" si="2"/>
        <v>25960</v>
      </c>
      <c r="K64" s="448">
        <f t="shared" si="3"/>
        <v>-0.30215053763440858</v>
      </c>
    </row>
    <row r="65" spans="1:11" x14ac:dyDescent="0.25">
      <c r="A65" s="1" t="s">
        <v>209</v>
      </c>
      <c r="C65" s="66">
        <v>17500</v>
      </c>
      <c r="E65" s="299">
        <v>12142</v>
      </c>
      <c r="F65" s="4"/>
      <c r="G65" s="301">
        <v>2000</v>
      </c>
      <c r="H65" s="4"/>
      <c r="I65" s="430">
        <f t="shared" si="2"/>
        <v>14142</v>
      </c>
      <c r="K65" s="448">
        <f t="shared" si="3"/>
        <v>-0.19188571428571433</v>
      </c>
    </row>
    <row r="66" spans="1:11" x14ac:dyDescent="0.25">
      <c r="A66" s="1" t="s">
        <v>303</v>
      </c>
      <c r="C66" s="66">
        <v>4200</v>
      </c>
      <c r="E66" s="299">
        <v>4200</v>
      </c>
      <c r="F66" s="4"/>
      <c r="G66" s="379"/>
      <c r="H66" s="4"/>
      <c r="I66" s="430">
        <f t="shared" si="2"/>
        <v>4200</v>
      </c>
      <c r="K66" s="448">
        <f t="shared" si="3"/>
        <v>0</v>
      </c>
    </row>
    <row r="67" spans="1:11" ht="18" x14ac:dyDescent="0.4">
      <c r="A67" s="1" t="s">
        <v>116</v>
      </c>
      <c r="C67" s="109">
        <v>1933</v>
      </c>
      <c r="E67" s="300">
        <v>0</v>
      </c>
      <c r="F67" s="4"/>
      <c r="G67" s="310">
        <v>1933</v>
      </c>
      <c r="H67" s="4"/>
      <c r="I67" s="433">
        <f t="shared" si="2"/>
        <v>1933</v>
      </c>
      <c r="K67" s="449">
        <f t="shared" si="3"/>
        <v>0</v>
      </c>
    </row>
    <row r="68" spans="1:11" ht="18" x14ac:dyDescent="0.4">
      <c r="A68" s="1" t="s">
        <v>117</v>
      </c>
      <c r="C68" s="434">
        <f>SUM(C62:C67)</f>
        <v>117633</v>
      </c>
      <c r="E68" s="68">
        <f>SUM(E62:E67)</f>
        <v>40538</v>
      </c>
      <c r="F68" s="4"/>
      <c r="G68" s="44">
        <f>I68-E68</f>
        <v>61560</v>
      </c>
      <c r="H68" s="4"/>
      <c r="I68" s="431">
        <f>SUM(I62:I67)</f>
        <v>102098</v>
      </c>
      <c r="K68" s="449">
        <f t="shared" si="3"/>
        <v>-0.13206328156214664</v>
      </c>
    </row>
    <row r="69" spans="1:11" x14ac:dyDescent="0.25">
      <c r="C69" s="66"/>
      <c r="E69" s="66"/>
      <c r="F69" s="4"/>
      <c r="G69" s="30"/>
      <c r="H69" s="4"/>
      <c r="I69" s="430"/>
      <c r="K69" s="427"/>
    </row>
    <row r="70" spans="1:11" x14ac:dyDescent="0.25">
      <c r="C70" s="66"/>
      <c r="E70" s="66"/>
      <c r="F70" s="4"/>
      <c r="G70" s="30"/>
      <c r="H70" s="4"/>
      <c r="I70" s="430"/>
      <c r="K70" s="427"/>
    </row>
    <row r="71" spans="1:11" ht="18" x14ac:dyDescent="0.4">
      <c r="A71" s="2" t="s">
        <v>4</v>
      </c>
      <c r="C71" s="68">
        <v>560000</v>
      </c>
      <c r="E71" s="306">
        <v>482464</v>
      </c>
      <c r="F71" s="4"/>
      <c r="G71" s="307">
        <v>80000</v>
      </c>
      <c r="H71" s="4"/>
      <c r="I71" s="431">
        <f>E71+G71</f>
        <v>562464</v>
      </c>
      <c r="K71" s="449">
        <f>+I71/C71-1</f>
        <v>4.3999999999999595E-3</v>
      </c>
    </row>
    <row r="72" spans="1:11" x14ac:dyDescent="0.25">
      <c r="C72" s="66"/>
      <c r="E72" s="66"/>
      <c r="F72" s="4"/>
      <c r="G72" s="30"/>
      <c r="H72" s="4"/>
      <c r="I72" s="30"/>
      <c r="K72" s="427"/>
    </row>
    <row r="73" spans="1:11" x14ac:dyDescent="0.25">
      <c r="A73" s="2" t="s">
        <v>118</v>
      </c>
      <c r="C73" s="66"/>
      <c r="E73" s="66"/>
      <c r="F73" s="4"/>
      <c r="G73" s="30"/>
      <c r="H73" s="4"/>
      <c r="I73" s="30"/>
      <c r="K73" s="427"/>
    </row>
    <row r="74" spans="1:11" x14ac:dyDescent="0.25">
      <c r="A74" s="1" t="s">
        <v>119</v>
      </c>
      <c r="C74" s="66">
        <v>27800</v>
      </c>
      <c r="E74" s="397">
        <v>26100</v>
      </c>
      <c r="F74" s="4"/>
      <c r="G74" s="305">
        <v>1700</v>
      </c>
      <c r="H74" s="4"/>
      <c r="I74" s="430">
        <f t="shared" ref="I74:I82" si="4">E74+G74</f>
        <v>27800</v>
      </c>
      <c r="K74" s="448">
        <f t="shared" ref="K74:K82" si="5">+I74/C74-1</f>
        <v>0</v>
      </c>
    </row>
    <row r="75" spans="1:11" x14ac:dyDescent="0.25">
      <c r="A75" s="1" t="s">
        <v>200</v>
      </c>
      <c r="C75" s="66">
        <v>1000</v>
      </c>
      <c r="D75" s="164"/>
      <c r="E75" s="397">
        <v>0</v>
      </c>
      <c r="F75" s="4"/>
      <c r="G75" s="379">
        <v>0</v>
      </c>
      <c r="H75" s="164"/>
      <c r="I75" s="435">
        <f t="shared" si="4"/>
        <v>0</v>
      </c>
      <c r="K75" s="448">
        <f t="shared" si="5"/>
        <v>-1</v>
      </c>
    </row>
    <row r="76" spans="1:11" x14ac:dyDescent="0.25">
      <c r="A76" s="1" t="s">
        <v>120</v>
      </c>
      <c r="C76" s="66">
        <v>10200</v>
      </c>
      <c r="E76" s="397">
        <v>6975</v>
      </c>
      <c r="F76" s="4"/>
      <c r="G76" s="379">
        <v>100</v>
      </c>
      <c r="H76" s="4"/>
      <c r="I76" s="430">
        <f t="shared" si="4"/>
        <v>7075</v>
      </c>
      <c r="J76" s="4"/>
      <c r="K76" s="448">
        <f t="shared" si="5"/>
        <v>-0.30637254901960786</v>
      </c>
    </row>
    <row r="77" spans="1:11" x14ac:dyDescent="0.25">
      <c r="A77" s="43" t="s">
        <v>437</v>
      </c>
      <c r="C77" s="66">
        <v>21800</v>
      </c>
      <c r="E77" s="397">
        <v>6443</v>
      </c>
      <c r="F77" s="4"/>
      <c r="G77" s="379">
        <v>0</v>
      </c>
      <c r="H77" s="4"/>
      <c r="I77" s="430">
        <f t="shared" si="4"/>
        <v>6443</v>
      </c>
      <c r="J77" s="4"/>
      <c r="K77" s="448">
        <f t="shared" si="5"/>
        <v>-0.70444954128440362</v>
      </c>
    </row>
    <row r="78" spans="1:11" x14ac:dyDescent="0.25">
      <c r="A78" s="43" t="s">
        <v>383</v>
      </c>
      <c r="C78" s="66">
        <v>900</v>
      </c>
      <c r="E78" s="397">
        <v>300</v>
      </c>
      <c r="F78" s="4"/>
      <c r="G78" s="379">
        <v>0</v>
      </c>
      <c r="H78" s="4"/>
      <c r="I78" s="430">
        <f t="shared" si="4"/>
        <v>300</v>
      </c>
      <c r="J78" s="4"/>
      <c r="K78" s="448">
        <f t="shared" si="5"/>
        <v>-0.66666666666666674</v>
      </c>
    </row>
    <row r="79" spans="1:11" x14ac:dyDescent="0.25">
      <c r="A79" s="1" t="s">
        <v>384</v>
      </c>
      <c r="C79" s="66">
        <v>3500</v>
      </c>
      <c r="E79" s="397">
        <v>2172</v>
      </c>
      <c r="F79" s="4"/>
      <c r="G79" s="379">
        <v>452</v>
      </c>
      <c r="H79" s="4"/>
      <c r="I79" s="430">
        <f t="shared" si="4"/>
        <v>2624</v>
      </c>
      <c r="J79" s="4"/>
      <c r="K79" s="448">
        <f t="shared" si="5"/>
        <v>-0.25028571428571433</v>
      </c>
    </row>
    <row r="80" spans="1:11" x14ac:dyDescent="0.25">
      <c r="A80" s="1" t="s">
        <v>434</v>
      </c>
      <c r="C80" s="361">
        <v>5900</v>
      </c>
      <c r="E80" s="397">
        <v>3557</v>
      </c>
      <c r="F80" s="4"/>
      <c r="G80" s="379">
        <v>475</v>
      </c>
      <c r="H80" s="4"/>
      <c r="I80" s="430">
        <f t="shared" si="4"/>
        <v>4032</v>
      </c>
      <c r="J80" s="4"/>
      <c r="K80" s="448">
        <f t="shared" si="5"/>
        <v>-0.31661016949152543</v>
      </c>
    </row>
    <row r="81" spans="1:17" x14ac:dyDescent="0.25">
      <c r="A81" s="1" t="s">
        <v>443</v>
      </c>
      <c r="C81" s="385">
        <v>0</v>
      </c>
      <c r="E81" s="397">
        <v>19876</v>
      </c>
      <c r="F81" s="4"/>
      <c r="G81" s="385">
        <v>0</v>
      </c>
      <c r="H81" s="4"/>
      <c r="I81" s="430">
        <f t="shared" si="4"/>
        <v>19876</v>
      </c>
      <c r="J81" s="4"/>
      <c r="K81" s="448">
        <v>1</v>
      </c>
    </row>
    <row r="82" spans="1:17" ht="18" x14ac:dyDescent="0.4">
      <c r="A82" s="1" t="s">
        <v>382</v>
      </c>
      <c r="C82" s="109">
        <v>1800</v>
      </c>
      <c r="E82" s="304">
        <v>7555</v>
      </c>
      <c r="F82" s="109"/>
      <c r="G82" s="365">
        <v>0</v>
      </c>
      <c r="H82" s="109"/>
      <c r="I82" s="434">
        <f t="shared" si="4"/>
        <v>7555</v>
      </c>
      <c r="K82" s="449">
        <f t="shared" si="5"/>
        <v>3.197222222222222</v>
      </c>
      <c r="Q82" s="1" t="s">
        <v>432</v>
      </c>
    </row>
    <row r="83" spans="1:17" ht="18" x14ac:dyDescent="0.4">
      <c r="A83" s="1" t="s">
        <v>121</v>
      </c>
      <c r="C83" s="434">
        <f>SUM(C74:C82)</f>
        <v>72900</v>
      </c>
      <c r="D83" s="427"/>
      <c r="E83" s="432">
        <f>SUM(E74:E82)</f>
        <v>72978</v>
      </c>
      <c r="F83" s="438"/>
      <c r="G83" s="431">
        <f>I83-E83</f>
        <v>2727</v>
      </c>
      <c r="H83" s="438"/>
      <c r="I83" s="431">
        <f>SUM(I74:I82)</f>
        <v>75705</v>
      </c>
      <c r="J83" s="427"/>
      <c r="K83" s="449">
        <f>+I83/C83-1</f>
        <v>3.8477366255144085E-2</v>
      </c>
      <c r="L83" s="48"/>
      <c r="N83" s="48"/>
    </row>
    <row r="84" spans="1:17" x14ac:dyDescent="0.25">
      <c r="A84" s="1" t="s">
        <v>122</v>
      </c>
      <c r="G84" s="30"/>
      <c r="I84" s="30"/>
      <c r="K84" s="427"/>
    </row>
    <row r="85" spans="1:17" ht="18" x14ac:dyDescent="0.4">
      <c r="A85" s="1" t="s">
        <v>271</v>
      </c>
      <c r="C85" s="444">
        <f>C83+C71+C68+C58+C53</f>
        <v>1040233</v>
      </c>
      <c r="D85" s="427"/>
      <c r="E85" s="444">
        <f>E83+E71+E68+E58+E53</f>
        <v>884044</v>
      </c>
      <c r="F85" s="452"/>
      <c r="G85" s="436">
        <f>I85-E85</f>
        <v>147529</v>
      </c>
      <c r="H85" s="452"/>
      <c r="I85" s="436">
        <f>I83+I71+I68+I58+I53</f>
        <v>1031573</v>
      </c>
      <c r="J85" s="167"/>
      <c r="K85" s="449">
        <f>+I85/C85-1</f>
        <v>-8.325057943749159E-3</v>
      </c>
      <c r="L85" s="166"/>
    </row>
    <row r="86" spans="1:17" ht="18" x14ac:dyDescent="0.4">
      <c r="C86" s="133"/>
      <c r="E86" s="133"/>
      <c r="F86" s="3"/>
      <c r="G86" s="134"/>
      <c r="H86" s="3"/>
      <c r="I86" s="134"/>
      <c r="J86" s="167"/>
      <c r="K86" s="46" t="s">
        <v>319</v>
      </c>
      <c r="L86" s="166"/>
    </row>
    <row r="87" spans="1:17" x14ac:dyDescent="0.25">
      <c r="A87" s="615" t="s">
        <v>45</v>
      </c>
      <c r="B87" s="615"/>
      <c r="C87" s="615"/>
      <c r="D87" s="615"/>
      <c r="E87" s="615"/>
      <c r="F87" s="615"/>
      <c r="G87" s="615"/>
      <c r="H87" s="615"/>
      <c r="I87" s="615"/>
      <c r="J87" s="615"/>
      <c r="K87" s="615"/>
    </row>
    <row r="88" spans="1:17" x14ac:dyDescent="0.25">
      <c r="A88" s="615" t="s">
        <v>216</v>
      </c>
      <c r="B88" s="615"/>
      <c r="C88" s="615"/>
      <c r="D88" s="615"/>
      <c r="E88" s="615"/>
      <c r="F88" s="615"/>
      <c r="G88" s="615"/>
      <c r="H88" s="615"/>
      <c r="I88" s="615"/>
      <c r="J88" s="615"/>
      <c r="K88" s="615"/>
    </row>
    <row r="89" spans="1:17" x14ac:dyDescent="0.25">
      <c r="A89" s="615" t="s">
        <v>305</v>
      </c>
      <c r="B89" s="615"/>
      <c r="C89" s="615"/>
      <c r="D89" s="615"/>
      <c r="E89" s="615"/>
      <c r="F89" s="615"/>
      <c r="G89" s="615"/>
      <c r="H89" s="615"/>
      <c r="I89" s="615"/>
      <c r="J89" s="615"/>
      <c r="K89" s="615"/>
    </row>
    <row r="90" spans="1:17" x14ac:dyDescent="0.25">
      <c r="A90" s="615" t="str">
        <f>A5</f>
        <v>Year Ending September 30, 2020</v>
      </c>
      <c r="B90" s="615"/>
      <c r="C90" s="615"/>
      <c r="D90" s="615"/>
      <c r="E90" s="615"/>
      <c r="F90" s="615"/>
      <c r="G90" s="615"/>
      <c r="H90" s="615"/>
      <c r="I90" s="615"/>
      <c r="J90" s="615"/>
      <c r="K90" s="615"/>
    </row>
    <row r="91" spans="1:17" x14ac:dyDescent="0.25">
      <c r="E91" s="1"/>
      <c r="G91" s="1"/>
      <c r="I91" s="1"/>
    </row>
    <row r="92" spans="1:17" x14ac:dyDescent="0.25">
      <c r="G92" s="30"/>
      <c r="I92" s="30"/>
    </row>
    <row r="93" spans="1:17" x14ac:dyDescent="0.25">
      <c r="E93" s="619" t="s">
        <v>105</v>
      </c>
      <c r="F93" s="619"/>
      <c r="G93" s="619"/>
      <c r="H93" s="619"/>
      <c r="I93" s="619"/>
    </row>
    <row r="94" spans="1:17" x14ac:dyDescent="0.25">
      <c r="C94" s="6" t="s">
        <v>365</v>
      </c>
      <c r="E94" s="79" t="str">
        <f>E9</f>
        <v xml:space="preserve">10 Months </v>
      </c>
      <c r="F94" s="70"/>
      <c r="G94" s="25" t="str">
        <f>G9</f>
        <v xml:space="preserve">2 Months </v>
      </c>
      <c r="H94" s="70"/>
      <c r="I94" s="25">
        <f>I9</f>
        <v>2020</v>
      </c>
      <c r="K94" s="6" t="s">
        <v>363</v>
      </c>
    </row>
    <row r="95" spans="1:17" x14ac:dyDescent="0.25">
      <c r="C95" s="190" t="s">
        <v>83</v>
      </c>
      <c r="E95" s="120" t="s">
        <v>81</v>
      </c>
      <c r="G95" s="47" t="s">
        <v>82</v>
      </c>
      <c r="I95" s="47" t="s">
        <v>82</v>
      </c>
      <c r="K95" s="190" t="s">
        <v>364</v>
      </c>
    </row>
    <row r="96" spans="1:17" x14ac:dyDescent="0.25">
      <c r="A96" s="2" t="s">
        <v>7</v>
      </c>
      <c r="G96" s="30"/>
      <c r="I96" s="30"/>
    </row>
    <row r="97" spans="1:14" x14ac:dyDescent="0.25">
      <c r="A97" s="2" t="s">
        <v>123</v>
      </c>
      <c r="G97" s="30"/>
      <c r="I97" s="30"/>
    </row>
    <row r="98" spans="1:14" x14ac:dyDescent="0.25">
      <c r="A98" s="1" t="s">
        <v>373</v>
      </c>
      <c r="C98" s="66">
        <v>49000</v>
      </c>
      <c r="E98" s="308">
        <v>40000</v>
      </c>
      <c r="F98" s="3"/>
      <c r="G98" s="309">
        <v>9000</v>
      </c>
      <c r="H98" s="3"/>
      <c r="I98" s="429">
        <f>E98+G98</f>
        <v>49000</v>
      </c>
      <c r="K98" s="448">
        <f t="shared" ref="K98:K118" si="6">+I98/C98-1</f>
        <v>0</v>
      </c>
      <c r="L98" s="166"/>
    </row>
    <row r="99" spans="1:14" x14ac:dyDescent="0.25">
      <c r="A99" s="1" t="s">
        <v>495</v>
      </c>
      <c r="C99" s="66">
        <v>31500</v>
      </c>
      <c r="E99" s="385">
        <v>24401</v>
      </c>
      <c r="F99" s="385"/>
      <c r="G99" s="385">
        <v>4320</v>
      </c>
      <c r="H99" s="3"/>
      <c r="I99" s="430">
        <f>E99+G99</f>
        <v>28721</v>
      </c>
      <c r="K99" s="448">
        <f t="shared" si="6"/>
        <v>-8.8222222222222202E-2</v>
      </c>
    </row>
    <row r="100" spans="1:14" s="368" customFormat="1" x14ac:dyDescent="0.25">
      <c r="A100" s="43" t="s">
        <v>565</v>
      </c>
      <c r="C100" s="385">
        <v>0</v>
      </c>
      <c r="E100" s="385">
        <v>0</v>
      </c>
      <c r="F100" s="385"/>
      <c r="G100" s="385">
        <v>0</v>
      </c>
      <c r="H100" s="3"/>
      <c r="I100" s="430">
        <f t="shared" ref="I100:I116" si="7">E100+G100</f>
        <v>0</v>
      </c>
      <c r="K100" s="448">
        <v>0</v>
      </c>
    </row>
    <row r="101" spans="1:14" x14ac:dyDescent="0.25">
      <c r="A101" s="1" t="s">
        <v>124</v>
      </c>
      <c r="C101" s="66">
        <v>12000</v>
      </c>
      <c r="E101" s="385">
        <v>10000</v>
      </c>
      <c r="F101" s="385"/>
      <c r="G101" s="385">
        <v>2000</v>
      </c>
      <c r="I101" s="430">
        <f t="shared" si="7"/>
        <v>12000</v>
      </c>
      <c r="K101" s="448">
        <f t="shared" si="6"/>
        <v>0</v>
      </c>
      <c r="L101" s="48"/>
    </row>
    <row r="102" spans="1:14" x14ac:dyDescent="0.25">
      <c r="A102" s="1" t="s">
        <v>125</v>
      </c>
      <c r="C102" s="66">
        <v>5700</v>
      </c>
      <c r="E102" s="385">
        <v>4834</v>
      </c>
      <c r="F102" s="385"/>
      <c r="G102" s="385">
        <v>924</v>
      </c>
      <c r="I102" s="430">
        <f t="shared" si="7"/>
        <v>5758</v>
      </c>
      <c r="K102" s="448">
        <f t="shared" si="6"/>
        <v>1.0175438596491171E-2</v>
      </c>
      <c r="L102" s="167"/>
    </row>
    <row r="103" spans="1:14" x14ac:dyDescent="0.25">
      <c r="A103" s="1" t="s">
        <v>436</v>
      </c>
      <c r="C103" s="255">
        <v>10200</v>
      </c>
      <c r="E103" s="385">
        <v>13782</v>
      </c>
      <c r="F103" s="385"/>
      <c r="G103" s="385">
        <v>700</v>
      </c>
      <c r="I103" s="430">
        <f t="shared" si="7"/>
        <v>14482</v>
      </c>
      <c r="K103" s="448">
        <f t="shared" si="6"/>
        <v>0.41980392156862756</v>
      </c>
      <c r="L103" s="167"/>
    </row>
    <row r="104" spans="1:14" x14ac:dyDescent="0.25">
      <c r="A104" s="1" t="s">
        <v>328</v>
      </c>
      <c r="C104" s="66">
        <v>6200</v>
      </c>
      <c r="E104" s="385">
        <v>1891</v>
      </c>
      <c r="F104" s="385"/>
      <c r="G104" s="385">
        <v>0</v>
      </c>
      <c r="I104" s="430">
        <f t="shared" si="7"/>
        <v>1891</v>
      </c>
      <c r="K104" s="448">
        <f t="shared" si="6"/>
        <v>-0.69500000000000006</v>
      </c>
      <c r="L104" s="48"/>
    </row>
    <row r="105" spans="1:14" x14ac:dyDescent="0.25">
      <c r="A105" s="1" t="s">
        <v>137</v>
      </c>
      <c r="C105" s="66">
        <v>2250</v>
      </c>
      <c r="E105" s="385">
        <v>2014</v>
      </c>
      <c r="F105" s="385"/>
      <c r="G105" s="385">
        <v>200</v>
      </c>
      <c r="I105" s="430">
        <f t="shared" si="7"/>
        <v>2214</v>
      </c>
      <c r="K105" s="448">
        <f t="shared" si="6"/>
        <v>-1.6000000000000014E-2</v>
      </c>
      <c r="L105" s="48"/>
    </row>
    <row r="106" spans="1:14" x14ac:dyDescent="0.25">
      <c r="A106" s="43" t="s">
        <v>563</v>
      </c>
      <c r="C106" s="66">
        <v>7000</v>
      </c>
      <c r="E106" s="385">
        <v>1520</v>
      </c>
      <c r="F106" s="385"/>
      <c r="G106" s="385">
        <v>75</v>
      </c>
      <c r="I106" s="430">
        <f t="shared" si="7"/>
        <v>1595</v>
      </c>
      <c r="K106" s="448">
        <f t="shared" si="6"/>
        <v>-0.77214285714285713</v>
      </c>
      <c r="L106" s="48"/>
    </row>
    <row r="107" spans="1:14" x14ac:dyDescent="0.25">
      <c r="A107" s="1" t="s">
        <v>127</v>
      </c>
      <c r="C107" s="66">
        <v>5100</v>
      </c>
      <c r="E107" s="385">
        <v>4080</v>
      </c>
      <c r="F107" s="385"/>
      <c r="G107" s="385">
        <v>1128</v>
      </c>
      <c r="I107" s="430">
        <f t="shared" si="7"/>
        <v>5208</v>
      </c>
      <c r="K107" s="448">
        <f t="shared" si="6"/>
        <v>2.1176470588235352E-2</v>
      </c>
      <c r="L107" s="48"/>
    </row>
    <row r="108" spans="1:14" x14ac:dyDescent="0.25">
      <c r="A108" s="1" t="s">
        <v>416</v>
      </c>
      <c r="C108" s="66">
        <v>35000</v>
      </c>
      <c r="E108" s="385">
        <v>30733</v>
      </c>
      <c r="F108" s="385"/>
      <c r="G108" s="385">
        <v>1200</v>
      </c>
      <c r="I108" s="430">
        <f t="shared" si="7"/>
        <v>31933</v>
      </c>
      <c r="K108" s="448">
        <f t="shared" si="6"/>
        <v>-8.7628571428571389E-2</v>
      </c>
    </row>
    <row r="109" spans="1:14" x14ac:dyDescent="0.25">
      <c r="A109" s="1" t="s">
        <v>128</v>
      </c>
      <c r="C109" s="66">
        <v>15800</v>
      </c>
      <c r="E109" s="385">
        <v>20055</v>
      </c>
      <c r="F109" s="385"/>
      <c r="G109" s="385">
        <v>1000</v>
      </c>
      <c r="I109" s="430">
        <f t="shared" si="7"/>
        <v>21055</v>
      </c>
      <c r="K109" s="448">
        <f t="shared" si="6"/>
        <v>0.33259493670886076</v>
      </c>
      <c r="L109" s="48"/>
    </row>
    <row r="110" spans="1:14" s="368" customFormat="1" x14ac:dyDescent="0.25">
      <c r="A110" s="368" t="s">
        <v>562</v>
      </c>
      <c r="C110" s="385">
        <v>10000</v>
      </c>
      <c r="E110" s="385">
        <v>9566</v>
      </c>
      <c r="F110" s="385"/>
      <c r="G110" s="385">
        <v>650</v>
      </c>
      <c r="I110" s="430">
        <f t="shared" si="7"/>
        <v>10216</v>
      </c>
      <c r="K110" s="448">
        <f t="shared" si="6"/>
        <v>2.1600000000000064E-2</v>
      </c>
      <c r="L110" s="318"/>
      <c r="N110" s="159"/>
    </row>
    <row r="111" spans="1:14" x14ac:dyDescent="0.25">
      <c r="A111" s="368" t="s">
        <v>129</v>
      </c>
      <c r="C111" s="66">
        <v>5700</v>
      </c>
      <c r="E111" s="385">
        <v>1342</v>
      </c>
      <c r="F111" s="385"/>
      <c r="G111" s="385">
        <v>0</v>
      </c>
      <c r="I111" s="430">
        <f t="shared" si="7"/>
        <v>1342</v>
      </c>
      <c r="K111" s="448">
        <f t="shared" si="6"/>
        <v>-0.764561403508772</v>
      </c>
      <c r="L111" s="48"/>
    </row>
    <row r="112" spans="1:14" x14ac:dyDescent="0.25">
      <c r="A112" s="1" t="s">
        <v>130</v>
      </c>
      <c r="C112" s="66">
        <v>2000</v>
      </c>
      <c r="E112" s="385">
        <v>1091</v>
      </c>
      <c r="F112" s="385"/>
      <c r="G112" s="385">
        <v>250</v>
      </c>
      <c r="I112" s="430">
        <f t="shared" si="7"/>
        <v>1341</v>
      </c>
      <c r="K112" s="448">
        <f t="shared" si="6"/>
        <v>-0.32950000000000002</v>
      </c>
    </row>
    <row r="113" spans="1:13" x14ac:dyDescent="0.25">
      <c r="A113" s="1" t="s">
        <v>131</v>
      </c>
      <c r="C113" s="66">
        <v>2200</v>
      </c>
      <c r="E113" s="385">
        <v>4650</v>
      </c>
      <c r="F113" s="385"/>
      <c r="G113" s="385">
        <v>200</v>
      </c>
      <c r="I113" s="430">
        <f t="shared" si="7"/>
        <v>4850</v>
      </c>
      <c r="K113" s="448">
        <f t="shared" si="6"/>
        <v>1.2045454545454546</v>
      </c>
    </row>
    <row r="114" spans="1:13" x14ac:dyDescent="0.25">
      <c r="A114" s="1" t="s">
        <v>132</v>
      </c>
      <c r="C114" s="66">
        <v>2800</v>
      </c>
      <c r="E114" s="385">
        <v>2669</v>
      </c>
      <c r="F114" s="385"/>
      <c r="G114" s="385">
        <v>0</v>
      </c>
      <c r="I114" s="430">
        <f t="shared" si="7"/>
        <v>2669</v>
      </c>
      <c r="K114" s="448">
        <f t="shared" si="6"/>
        <v>-4.6785714285714319E-2</v>
      </c>
    </row>
    <row r="115" spans="1:13" x14ac:dyDescent="0.25">
      <c r="A115" s="43" t="s">
        <v>522</v>
      </c>
      <c r="C115" s="66">
        <v>0</v>
      </c>
      <c r="E115" s="385">
        <v>0</v>
      </c>
      <c r="F115" s="385"/>
      <c r="G115" s="385">
        <v>0</v>
      </c>
      <c r="I115" s="430">
        <f t="shared" si="7"/>
        <v>0</v>
      </c>
      <c r="K115" s="448">
        <v>0</v>
      </c>
    </row>
    <row r="116" spans="1:13" s="368" customFormat="1" x14ac:dyDescent="0.25">
      <c r="A116" s="43" t="s">
        <v>572</v>
      </c>
      <c r="C116" s="385">
        <v>0</v>
      </c>
      <c r="E116" s="385">
        <v>21800</v>
      </c>
      <c r="F116" s="385"/>
      <c r="G116" s="385">
        <v>0</v>
      </c>
      <c r="I116" s="430">
        <f t="shared" si="7"/>
        <v>21800</v>
      </c>
      <c r="K116" s="448">
        <v>1</v>
      </c>
    </row>
    <row r="117" spans="1:13" ht="18" x14ac:dyDescent="0.4">
      <c r="A117" s="1" t="s">
        <v>133</v>
      </c>
      <c r="C117" s="109">
        <v>10000</v>
      </c>
      <c r="E117" s="365">
        <f>38536-21800-9566</f>
        <v>7170</v>
      </c>
      <c r="F117" s="385"/>
      <c r="G117" s="365">
        <v>1731</v>
      </c>
      <c r="H117" s="135"/>
      <c r="I117" s="433">
        <f>E117+G117</f>
        <v>8901</v>
      </c>
      <c r="J117" s="282"/>
      <c r="K117" s="449">
        <f t="shared" si="6"/>
        <v>-0.1099</v>
      </c>
      <c r="L117" s="48"/>
    </row>
    <row r="118" spans="1:13" ht="18" x14ac:dyDescent="0.4">
      <c r="A118" s="63" t="s">
        <v>261</v>
      </c>
      <c r="C118" s="434">
        <f>SUM(C98:C117)</f>
        <v>212450</v>
      </c>
      <c r="D118" s="427"/>
      <c r="E118" s="432">
        <f>SUM(E98:E117)</f>
        <v>201598</v>
      </c>
      <c r="F118" s="427"/>
      <c r="G118" s="431">
        <f>SUM(G98:G117)</f>
        <v>23378</v>
      </c>
      <c r="H118" s="427"/>
      <c r="I118" s="431">
        <f>SUM(I98:I117)</f>
        <v>224976</v>
      </c>
      <c r="J118" s="544"/>
      <c r="K118" s="449">
        <f t="shared" si="6"/>
        <v>5.895975523652619E-2</v>
      </c>
      <c r="L118" s="48"/>
      <c r="M118" s="48"/>
    </row>
    <row r="119" spans="1:13" ht="9.9499999999999993" customHeight="1" x14ac:dyDescent="0.25">
      <c r="C119" s="66"/>
      <c r="E119" s="66"/>
      <c r="G119" s="30"/>
      <c r="I119" s="30"/>
    </row>
    <row r="120" spans="1:13" x14ac:dyDescent="0.25">
      <c r="A120" s="2" t="s">
        <v>135</v>
      </c>
      <c r="C120" s="66"/>
      <c r="E120" s="66"/>
      <c r="G120" s="30"/>
      <c r="I120" s="30"/>
    </row>
    <row r="121" spans="1:13" x14ac:dyDescent="0.25">
      <c r="A121" s="43" t="s">
        <v>371</v>
      </c>
      <c r="C121" s="66">
        <v>40000</v>
      </c>
      <c r="E121" s="311">
        <v>33333</v>
      </c>
      <c r="G121" s="313">
        <v>6667</v>
      </c>
      <c r="I121" s="430">
        <f>E121+G121</f>
        <v>40000</v>
      </c>
      <c r="K121" s="448">
        <f t="shared" ref="K121:K146" si="8">+I121/C121-1</f>
        <v>0</v>
      </c>
    </row>
    <row r="122" spans="1:13" x14ac:dyDescent="0.25">
      <c r="A122" s="43" t="s">
        <v>247</v>
      </c>
      <c r="C122" s="66">
        <f>470000+14500</f>
        <v>484500</v>
      </c>
      <c r="E122" s="385">
        <f>406511+50000</f>
        <v>456511</v>
      </c>
      <c r="G122" s="379">
        <v>81400</v>
      </c>
      <c r="I122" s="430">
        <f>E122+G122</f>
        <v>537911</v>
      </c>
      <c r="K122" s="448">
        <f t="shared" si="8"/>
        <v>0.11023942208462323</v>
      </c>
      <c r="L122" s="48"/>
    </row>
    <row r="123" spans="1:13" s="368" customFormat="1" x14ac:dyDescent="0.25">
      <c r="A123" s="43" t="s">
        <v>459</v>
      </c>
      <c r="C123" s="385">
        <v>0</v>
      </c>
      <c r="E123" s="385">
        <v>0</v>
      </c>
      <c r="F123" s="385"/>
      <c r="G123" s="379">
        <v>0</v>
      </c>
      <c r="I123" s="430">
        <f>E123+G123</f>
        <v>0</v>
      </c>
      <c r="K123" s="448">
        <v>0</v>
      </c>
      <c r="L123" s="318"/>
    </row>
    <row r="124" spans="1:13" x14ac:dyDescent="0.25">
      <c r="A124" s="43" t="s">
        <v>248</v>
      </c>
      <c r="C124" s="66">
        <v>38900</v>
      </c>
      <c r="E124" s="385">
        <v>37908</v>
      </c>
      <c r="F124" s="385"/>
      <c r="G124" s="379">
        <v>7582</v>
      </c>
      <c r="I124" s="430">
        <f t="shared" ref="I124:I139" si="9">E124+G124</f>
        <v>45490</v>
      </c>
      <c r="K124" s="448">
        <f t="shared" si="8"/>
        <v>0.16940874035989717</v>
      </c>
    </row>
    <row r="125" spans="1:13" x14ac:dyDescent="0.25">
      <c r="A125" s="43" t="s">
        <v>249</v>
      </c>
      <c r="C125" s="66">
        <v>70000</v>
      </c>
      <c r="E125" s="385">
        <v>69238</v>
      </c>
      <c r="F125" s="385"/>
      <c r="G125" s="379">
        <v>13900</v>
      </c>
      <c r="I125" s="430">
        <f t="shared" si="9"/>
        <v>83138</v>
      </c>
      <c r="K125" s="448">
        <f t="shared" si="8"/>
        <v>0.18768571428571423</v>
      </c>
    </row>
    <row r="126" spans="1:13" x14ac:dyDescent="0.25">
      <c r="A126" s="43" t="s">
        <v>250</v>
      </c>
      <c r="C126" s="66">
        <v>25500</v>
      </c>
      <c r="E126" s="385">
        <v>16676</v>
      </c>
      <c r="F126" s="385"/>
      <c r="G126" s="379">
        <v>2900</v>
      </c>
      <c r="I126" s="430">
        <f t="shared" si="9"/>
        <v>19576</v>
      </c>
      <c r="K126" s="448">
        <f t="shared" si="8"/>
        <v>-0.23231372549019613</v>
      </c>
    </row>
    <row r="127" spans="1:13" x14ac:dyDescent="0.25">
      <c r="A127" s="43" t="s">
        <v>251</v>
      </c>
      <c r="C127" s="66">
        <v>15000</v>
      </c>
      <c r="E127" s="385">
        <v>1484</v>
      </c>
      <c r="F127" s="385"/>
      <c r="G127" s="379">
        <v>288</v>
      </c>
      <c r="H127" s="173"/>
      <c r="I127" s="430">
        <f t="shared" si="9"/>
        <v>1772</v>
      </c>
      <c r="K127" s="448">
        <f t="shared" si="8"/>
        <v>-0.88186666666666669</v>
      </c>
    </row>
    <row r="128" spans="1:13" x14ac:dyDescent="0.25">
      <c r="A128" s="43" t="s">
        <v>252</v>
      </c>
      <c r="C128" s="66">
        <v>25000</v>
      </c>
      <c r="E128" s="385">
        <v>5552</v>
      </c>
      <c r="F128" s="385"/>
      <c r="G128" s="379">
        <v>2000</v>
      </c>
      <c r="I128" s="430">
        <f t="shared" si="9"/>
        <v>7552</v>
      </c>
      <c r="K128" s="448">
        <f t="shared" si="8"/>
        <v>-0.69791999999999998</v>
      </c>
      <c r="L128" s="48"/>
    </row>
    <row r="129" spans="1:12" x14ac:dyDescent="0.25">
      <c r="A129" s="43" t="s">
        <v>245</v>
      </c>
      <c r="C129" s="66">
        <v>700</v>
      </c>
      <c r="E129" s="385">
        <v>336</v>
      </c>
      <c r="F129" s="385"/>
      <c r="G129" s="379">
        <v>100</v>
      </c>
      <c r="I129" s="430">
        <f>E129+G129</f>
        <v>436</v>
      </c>
      <c r="K129" s="448">
        <f t="shared" si="8"/>
        <v>-0.37714285714285711</v>
      </c>
    </row>
    <row r="130" spans="1:12" x14ac:dyDescent="0.25">
      <c r="A130" s="43" t="s">
        <v>244</v>
      </c>
      <c r="C130" s="66">
        <v>12600</v>
      </c>
      <c r="E130" s="385">
        <f>18319-4940-1950</f>
        <v>11429</v>
      </c>
      <c r="F130" s="385"/>
      <c r="G130" s="379">
        <v>200</v>
      </c>
      <c r="I130" s="430">
        <f t="shared" si="9"/>
        <v>11629</v>
      </c>
      <c r="K130" s="448">
        <f t="shared" si="8"/>
        <v>-7.7063492063492056E-2</v>
      </c>
      <c r="L130" s="48"/>
    </row>
    <row r="131" spans="1:12" x14ac:dyDescent="0.25">
      <c r="A131" s="43" t="s">
        <v>243</v>
      </c>
      <c r="C131" s="66">
        <v>3000</v>
      </c>
      <c r="E131" s="385">
        <v>8761</v>
      </c>
      <c r="F131" s="385"/>
      <c r="G131" s="379">
        <v>100</v>
      </c>
      <c r="I131" s="430">
        <f t="shared" si="9"/>
        <v>8861</v>
      </c>
      <c r="K131" s="448">
        <f t="shared" si="8"/>
        <v>1.9536666666666669</v>
      </c>
    </row>
    <row r="132" spans="1:12" x14ac:dyDescent="0.25">
      <c r="A132" s="43" t="s">
        <v>253</v>
      </c>
      <c r="C132" s="66">
        <v>2300</v>
      </c>
      <c r="E132" s="385">
        <v>1459</v>
      </c>
      <c r="F132" s="385"/>
      <c r="G132" s="379">
        <v>75</v>
      </c>
      <c r="I132" s="430">
        <f t="shared" si="9"/>
        <v>1534</v>
      </c>
      <c r="K132" s="448">
        <f t="shared" si="8"/>
        <v>-0.33304347826086955</v>
      </c>
    </row>
    <row r="133" spans="1:12" x14ac:dyDescent="0.25">
      <c r="A133" s="43" t="s">
        <v>345</v>
      </c>
      <c r="C133" s="66">
        <v>5000</v>
      </c>
      <c r="E133" s="385">
        <v>3514</v>
      </c>
      <c r="F133" s="385"/>
      <c r="G133" s="379">
        <v>100</v>
      </c>
      <c r="I133" s="430">
        <f t="shared" si="9"/>
        <v>3614</v>
      </c>
      <c r="K133" s="448">
        <f t="shared" si="8"/>
        <v>-0.2772</v>
      </c>
    </row>
    <row r="134" spans="1:12" x14ac:dyDescent="0.25">
      <c r="A134" s="43" t="s">
        <v>277</v>
      </c>
      <c r="C134" s="66">
        <v>3500</v>
      </c>
      <c r="E134" s="385">
        <v>2699</v>
      </c>
      <c r="F134" s="385"/>
      <c r="G134" s="379">
        <v>600</v>
      </c>
      <c r="I134" s="430">
        <f t="shared" si="9"/>
        <v>3299</v>
      </c>
      <c r="K134" s="448">
        <f t="shared" si="8"/>
        <v>-5.7428571428571384E-2</v>
      </c>
      <c r="L134" s="48"/>
    </row>
    <row r="135" spans="1:12" x14ac:dyDescent="0.25">
      <c r="A135" s="43" t="s">
        <v>254</v>
      </c>
      <c r="C135" s="66">
        <v>3300</v>
      </c>
      <c r="E135" s="385">
        <v>4263</v>
      </c>
      <c r="F135" s="385"/>
      <c r="G135" s="379">
        <v>200</v>
      </c>
      <c r="I135" s="430">
        <f t="shared" si="9"/>
        <v>4463</v>
      </c>
      <c r="K135" s="448">
        <f t="shared" si="8"/>
        <v>0.35242424242424253</v>
      </c>
    </row>
    <row r="136" spans="1:12" x14ac:dyDescent="0.25">
      <c r="A136" s="43" t="s">
        <v>255</v>
      </c>
      <c r="C136" s="66">
        <v>13700</v>
      </c>
      <c r="E136" s="385">
        <v>16927</v>
      </c>
      <c r="F136" s="385"/>
      <c r="G136" s="379">
        <v>4085</v>
      </c>
      <c r="I136" s="430">
        <f t="shared" si="9"/>
        <v>21012</v>
      </c>
      <c r="K136" s="448">
        <f t="shared" si="8"/>
        <v>0.53372262773722623</v>
      </c>
    </row>
    <row r="137" spans="1:12" x14ac:dyDescent="0.25">
      <c r="A137" s="43" t="s">
        <v>256</v>
      </c>
      <c r="C137" s="66">
        <v>19600</v>
      </c>
      <c r="E137" s="385">
        <v>15738</v>
      </c>
      <c r="F137" s="385"/>
      <c r="G137" s="379">
        <v>4350</v>
      </c>
      <c r="I137" s="430">
        <f t="shared" si="9"/>
        <v>20088</v>
      </c>
      <c r="K137" s="448">
        <f t="shared" si="8"/>
        <v>2.4897959183673546E-2</v>
      </c>
    </row>
    <row r="138" spans="1:12" x14ac:dyDescent="0.25">
      <c r="A138" s="43" t="s">
        <v>573</v>
      </c>
      <c r="C138" s="66">
        <v>1000</v>
      </c>
      <c r="E138" s="385">
        <v>0</v>
      </c>
      <c r="F138" s="385"/>
      <c r="G138" s="379">
        <v>0</v>
      </c>
      <c r="I138" s="430">
        <f t="shared" si="9"/>
        <v>0</v>
      </c>
      <c r="K138" s="448">
        <f t="shared" si="8"/>
        <v>-1</v>
      </c>
    </row>
    <row r="139" spans="1:12" x14ac:dyDescent="0.25">
      <c r="A139" s="43" t="s">
        <v>257</v>
      </c>
      <c r="C139" s="66">
        <v>6200</v>
      </c>
      <c r="E139" s="385">
        <v>5537</v>
      </c>
      <c r="F139" s="385"/>
      <c r="G139" s="379">
        <v>1050</v>
      </c>
      <c r="I139" s="430">
        <f t="shared" si="9"/>
        <v>6587</v>
      </c>
      <c r="K139" s="448">
        <f t="shared" si="8"/>
        <v>6.2419354838709751E-2</v>
      </c>
      <c r="L139" s="48"/>
    </row>
    <row r="140" spans="1:12" x14ac:dyDescent="0.25">
      <c r="A140" s="43" t="s">
        <v>278</v>
      </c>
      <c r="C140" s="66">
        <v>2200</v>
      </c>
      <c r="E140" s="385">
        <v>2153</v>
      </c>
      <c r="F140" s="385"/>
      <c r="G140" s="379">
        <v>300</v>
      </c>
      <c r="I140" s="430">
        <f t="shared" ref="I140:I145" si="10">E140+G140</f>
        <v>2453</v>
      </c>
      <c r="K140" s="448">
        <f t="shared" si="8"/>
        <v>0.11499999999999999</v>
      </c>
      <c r="L140" s="48"/>
    </row>
    <row r="141" spans="1:12" x14ac:dyDescent="0.25">
      <c r="A141" s="43" t="s">
        <v>258</v>
      </c>
      <c r="C141" s="66">
        <v>4000</v>
      </c>
      <c r="E141" s="385">
        <v>2945</v>
      </c>
      <c r="F141" s="385"/>
      <c r="G141" s="379">
        <v>1500</v>
      </c>
      <c r="I141" s="430">
        <f t="shared" si="10"/>
        <v>4445</v>
      </c>
      <c r="K141" s="448">
        <f t="shared" si="8"/>
        <v>0.11125000000000007</v>
      </c>
    </row>
    <row r="142" spans="1:12" x14ac:dyDescent="0.25">
      <c r="A142" s="43" t="s">
        <v>301</v>
      </c>
      <c r="C142" s="66">
        <v>16100</v>
      </c>
      <c r="E142" s="385">
        <v>10367</v>
      </c>
      <c r="F142" s="385"/>
      <c r="G142" s="379">
        <v>0</v>
      </c>
      <c r="I142" s="430">
        <f t="shared" si="10"/>
        <v>10367</v>
      </c>
      <c r="K142" s="448">
        <f t="shared" si="8"/>
        <v>-0.35608695652173916</v>
      </c>
    </row>
    <row r="143" spans="1:12" x14ac:dyDescent="0.25">
      <c r="A143" s="43" t="s">
        <v>346</v>
      </c>
      <c r="C143" s="66">
        <v>1000</v>
      </c>
      <c r="E143" s="385">
        <v>0</v>
      </c>
      <c r="F143" s="385"/>
      <c r="G143" s="379">
        <v>0</v>
      </c>
      <c r="I143" s="435">
        <f t="shared" si="10"/>
        <v>0</v>
      </c>
      <c r="K143" s="448">
        <f t="shared" si="8"/>
        <v>-1</v>
      </c>
    </row>
    <row r="144" spans="1:12" x14ac:dyDescent="0.25">
      <c r="A144" s="43" t="s">
        <v>379</v>
      </c>
      <c r="C144" s="66">
        <v>2800</v>
      </c>
      <c r="E144" s="385">
        <v>1073</v>
      </c>
      <c r="G144" s="379">
        <v>0</v>
      </c>
      <c r="I144" s="430">
        <f t="shared" si="10"/>
        <v>1073</v>
      </c>
      <c r="K144" s="448">
        <f t="shared" si="8"/>
        <v>-0.61678571428571427</v>
      </c>
    </row>
    <row r="145" spans="1:12" ht="18" x14ac:dyDescent="0.4">
      <c r="A145" s="43" t="s">
        <v>259</v>
      </c>
      <c r="C145" s="109">
        <v>2100</v>
      </c>
      <c r="E145" s="312">
        <v>2140</v>
      </c>
      <c r="G145" s="365">
        <v>0</v>
      </c>
      <c r="H145" s="36"/>
      <c r="I145" s="433">
        <f t="shared" si="10"/>
        <v>2140</v>
      </c>
      <c r="K145" s="449">
        <f t="shared" si="8"/>
        <v>1.904761904761898E-2</v>
      </c>
    </row>
    <row r="146" spans="1:12" ht="18" x14ac:dyDescent="0.4">
      <c r="A146" s="63" t="s">
        <v>260</v>
      </c>
      <c r="C146" s="434">
        <f>SUM(C121:C145)</f>
        <v>798000</v>
      </c>
      <c r="E146" s="68">
        <f>SUM(E121:E145)</f>
        <v>710043</v>
      </c>
      <c r="F146" s="4"/>
      <c r="G146" s="44">
        <f>SUM(G121:G145)</f>
        <v>127397</v>
      </c>
      <c r="H146" s="35">
        <v>0</v>
      </c>
      <c r="I146" s="431">
        <f>SUM(I121:I145)</f>
        <v>837440</v>
      </c>
      <c r="K146" s="449">
        <f t="shared" si="8"/>
        <v>4.9423558897243147E-2</v>
      </c>
      <c r="L146" s="48"/>
    </row>
    <row r="147" spans="1:12" ht="18" x14ac:dyDescent="0.4">
      <c r="A147" s="63"/>
      <c r="C147" s="109"/>
      <c r="E147" s="68"/>
      <c r="F147" s="4"/>
      <c r="G147" s="44"/>
      <c r="H147" s="35"/>
      <c r="I147" s="44"/>
      <c r="K147" s="46" t="s">
        <v>307</v>
      </c>
      <c r="L147" s="48"/>
    </row>
    <row r="148" spans="1:12" x14ac:dyDescent="0.25">
      <c r="A148" s="615" t="s">
        <v>45</v>
      </c>
      <c r="B148" s="615"/>
      <c r="C148" s="615"/>
      <c r="D148" s="615"/>
      <c r="E148" s="615"/>
      <c r="F148" s="615"/>
      <c r="G148" s="615"/>
      <c r="H148" s="615"/>
      <c r="I148" s="615"/>
      <c r="J148" s="615"/>
      <c r="K148" s="615"/>
      <c r="L148" s="48"/>
    </row>
    <row r="149" spans="1:12" x14ac:dyDescent="0.25">
      <c r="A149" s="615" t="s">
        <v>216</v>
      </c>
      <c r="B149" s="615"/>
      <c r="C149" s="615"/>
      <c r="D149" s="615"/>
      <c r="E149" s="615"/>
      <c r="F149" s="615"/>
      <c r="G149" s="615"/>
      <c r="H149" s="615"/>
      <c r="I149" s="615"/>
      <c r="J149" s="615"/>
      <c r="K149" s="615"/>
      <c r="L149" s="48"/>
    </row>
    <row r="150" spans="1:12" x14ac:dyDescent="0.25">
      <c r="A150" s="615" t="s">
        <v>305</v>
      </c>
      <c r="B150" s="615"/>
      <c r="C150" s="615"/>
      <c r="D150" s="615"/>
      <c r="E150" s="615"/>
      <c r="F150" s="615"/>
      <c r="G150" s="615"/>
      <c r="H150" s="615"/>
      <c r="I150" s="615"/>
      <c r="J150" s="615"/>
      <c r="K150" s="615"/>
    </row>
    <row r="151" spans="1:12" x14ac:dyDescent="0.25">
      <c r="A151" s="615" t="str">
        <f>A5</f>
        <v>Year Ending September 30, 2020</v>
      </c>
      <c r="B151" s="615"/>
      <c r="C151" s="615"/>
      <c r="D151" s="615"/>
      <c r="E151" s="615"/>
      <c r="F151" s="615"/>
      <c r="G151" s="615"/>
      <c r="H151" s="615"/>
      <c r="I151" s="615"/>
      <c r="J151" s="615"/>
      <c r="K151" s="615"/>
    </row>
    <row r="153" spans="1:12" x14ac:dyDescent="0.25">
      <c r="E153" s="66"/>
      <c r="G153" s="30"/>
      <c r="I153" s="30"/>
    </row>
    <row r="154" spans="1:12" x14ac:dyDescent="0.25">
      <c r="E154" s="625" t="s">
        <v>105</v>
      </c>
      <c r="F154" s="625"/>
      <c r="G154" s="625"/>
      <c r="H154" s="625"/>
      <c r="I154" s="625"/>
    </row>
    <row r="155" spans="1:12" x14ac:dyDescent="0.25">
      <c r="C155" s="6" t="s">
        <v>365</v>
      </c>
      <c r="E155" s="79" t="str">
        <f>E9</f>
        <v xml:space="preserve">10 Months </v>
      </c>
      <c r="F155" s="70"/>
      <c r="G155" s="25" t="str">
        <f>G9</f>
        <v xml:space="preserve">2 Months </v>
      </c>
      <c r="H155" s="70"/>
      <c r="I155" s="25">
        <f>I9</f>
        <v>2020</v>
      </c>
      <c r="K155" s="6" t="s">
        <v>363</v>
      </c>
    </row>
    <row r="156" spans="1:12" x14ac:dyDescent="0.25">
      <c r="C156" s="190" t="s">
        <v>83</v>
      </c>
      <c r="E156" s="114" t="s">
        <v>81</v>
      </c>
      <c r="G156" s="47" t="s">
        <v>82</v>
      </c>
      <c r="I156" s="47" t="s">
        <v>82</v>
      </c>
      <c r="K156" s="190" t="s">
        <v>364</v>
      </c>
    </row>
    <row r="157" spans="1:12" x14ac:dyDescent="0.25">
      <c r="A157" s="2" t="s">
        <v>348</v>
      </c>
    </row>
    <row r="158" spans="1:12" x14ac:dyDescent="0.25">
      <c r="A158" s="43" t="s">
        <v>347</v>
      </c>
      <c r="C158" s="66">
        <v>28080</v>
      </c>
      <c r="E158" s="315">
        <v>23760</v>
      </c>
      <c r="F158" s="3"/>
      <c r="G158" s="317">
        <v>4320</v>
      </c>
      <c r="H158" s="3"/>
      <c r="I158" s="430">
        <f>E158+G158</f>
        <v>28080</v>
      </c>
      <c r="J158" s="427"/>
      <c r="K158" s="448">
        <f t="shared" ref="K158:K174" si="11">+I158/C158-1</f>
        <v>0</v>
      </c>
    </row>
    <row r="159" spans="1:12" x14ac:dyDescent="0.25">
      <c r="A159" s="43" t="s">
        <v>349</v>
      </c>
      <c r="C159" s="66">
        <v>2100</v>
      </c>
      <c r="E159" s="385">
        <v>1818</v>
      </c>
      <c r="F159" s="3"/>
      <c r="G159" s="379">
        <v>330</v>
      </c>
      <c r="H159" s="3"/>
      <c r="I159" s="430">
        <f t="shared" ref="I159:I181" si="12">E159+G159</f>
        <v>2148</v>
      </c>
      <c r="J159" s="427"/>
      <c r="K159" s="448">
        <f t="shared" si="11"/>
        <v>2.2857142857142909E-2</v>
      </c>
    </row>
    <row r="160" spans="1:12" x14ac:dyDescent="0.25">
      <c r="A160" s="43" t="s">
        <v>350</v>
      </c>
      <c r="C160" s="66">
        <v>16800</v>
      </c>
      <c r="E160" s="385">
        <v>11003</v>
      </c>
      <c r="G160" s="379">
        <v>2025</v>
      </c>
      <c r="I160" s="430">
        <f t="shared" si="12"/>
        <v>13028</v>
      </c>
      <c r="J160" s="427"/>
      <c r="K160" s="448">
        <f t="shared" si="11"/>
        <v>-0.22452380952380957</v>
      </c>
    </row>
    <row r="161" spans="1:12" s="368" customFormat="1" x14ac:dyDescent="0.25">
      <c r="A161" s="43" t="s">
        <v>470</v>
      </c>
      <c r="C161" s="385">
        <v>0</v>
      </c>
      <c r="E161" s="385">
        <v>0</v>
      </c>
      <c r="G161" s="379">
        <v>0</v>
      </c>
      <c r="I161" s="430">
        <v>0</v>
      </c>
      <c r="J161" s="427"/>
      <c r="K161" s="448">
        <v>0</v>
      </c>
    </row>
    <row r="162" spans="1:12" x14ac:dyDescent="0.25">
      <c r="A162" s="43" t="s">
        <v>351</v>
      </c>
      <c r="C162" s="66">
        <v>1300</v>
      </c>
      <c r="E162" s="385">
        <v>842</v>
      </c>
      <c r="G162" s="379">
        <v>174</v>
      </c>
      <c r="I162" s="430">
        <f t="shared" si="12"/>
        <v>1016</v>
      </c>
      <c r="J162" s="427"/>
      <c r="K162" s="448">
        <f t="shared" si="11"/>
        <v>-0.21846153846153848</v>
      </c>
    </row>
    <row r="163" spans="1:12" x14ac:dyDescent="0.25">
      <c r="A163" s="43" t="s">
        <v>386</v>
      </c>
      <c r="C163" s="225">
        <v>21840</v>
      </c>
      <c r="E163" s="385">
        <v>18233</v>
      </c>
      <c r="G163" s="379">
        <v>3360</v>
      </c>
      <c r="I163" s="430">
        <f t="shared" si="12"/>
        <v>21593</v>
      </c>
      <c r="J163" s="427"/>
      <c r="K163" s="448">
        <f t="shared" si="11"/>
        <v>-1.1309523809523769E-2</v>
      </c>
    </row>
    <row r="164" spans="1:12" s="368" customFormat="1" x14ac:dyDescent="0.25">
      <c r="A164" s="43" t="s">
        <v>471</v>
      </c>
      <c r="C164" s="361">
        <v>0</v>
      </c>
      <c r="E164" s="385">
        <v>0</v>
      </c>
      <c r="G164" s="379">
        <v>0</v>
      </c>
      <c r="I164" s="430">
        <v>0</v>
      </c>
      <c r="J164" s="427"/>
      <c r="K164" s="448">
        <v>0</v>
      </c>
    </row>
    <row r="165" spans="1:12" x14ac:dyDescent="0.25">
      <c r="A165" s="43" t="s">
        <v>387</v>
      </c>
      <c r="C165" s="225">
        <v>1700</v>
      </c>
      <c r="E165" s="385">
        <v>1395</v>
      </c>
      <c r="G165" s="379">
        <v>247</v>
      </c>
      <c r="I165" s="430">
        <f t="shared" si="12"/>
        <v>1642</v>
      </c>
      <c r="J165" s="427"/>
      <c r="K165" s="448">
        <f t="shared" si="11"/>
        <v>-3.4117647058823475E-2</v>
      </c>
    </row>
    <row r="166" spans="1:12" x14ac:dyDescent="0.25">
      <c r="A166" s="43" t="s">
        <v>352</v>
      </c>
      <c r="C166" s="66">
        <v>3100</v>
      </c>
      <c r="E166" s="385">
        <v>2957</v>
      </c>
      <c r="G166" s="379">
        <v>960</v>
      </c>
      <c r="I166" s="430">
        <f t="shared" si="12"/>
        <v>3917</v>
      </c>
      <c r="J166" s="427"/>
      <c r="K166" s="448">
        <f t="shared" si="11"/>
        <v>0.26354838709677408</v>
      </c>
    </row>
    <row r="167" spans="1:12" x14ac:dyDescent="0.25">
      <c r="A167" s="43" t="s">
        <v>242</v>
      </c>
      <c r="C167" s="66">
        <v>2700</v>
      </c>
      <c r="E167" s="385">
        <v>3296</v>
      </c>
      <c r="G167" s="379">
        <v>70</v>
      </c>
      <c r="I167" s="430">
        <f t="shared" si="12"/>
        <v>3366</v>
      </c>
      <c r="J167" s="427"/>
      <c r="K167" s="448">
        <f t="shared" si="11"/>
        <v>0.24666666666666659</v>
      </c>
    </row>
    <row r="168" spans="1:12" x14ac:dyDescent="0.25">
      <c r="A168" s="43" t="s">
        <v>372</v>
      </c>
      <c r="C168" s="66"/>
      <c r="E168" s="385"/>
      <c r="G168" s="379"/>
      <c r="I168" s="430"/>
      <c r="J168" s="427"/>
      <c r="K168" s="448"/>
    </row>
    <row r="169" spans="1:12" x14ac:dyDescent="0.25">
      <c r="A169" s="175" t="s">
        <v>374</v>
      </c>
      <c r="C169" s="66">
        <v>31200</v>
      </c>
      <c r="E169" s="385">
        <v>23110</v>
      </c>
      <c r="G169" s="379">
        <v>4800</v>
      </c>
      <c r="I169" s="430">
        <f t="shared" si="12"/>
        <v>27910</v>
      </c>
      <c r="J169" s="427"/>
      <c r="K169" s="448">
        <f t="shared" si="11"/>
        <v>-0.10544871794871791</v>
      </c>
      <c r="L169" s="48"/>
    </row>
    <row r="170" spans="1:12" x14ac:dyDescent="0.25">
      <c r="A170" s="175" t="s">
        <v>378</v>
      </c>
      <c r="C170" s="225">
        <v>2400</v>
      </c>
      <c r="E170" s="385">
        <v>1768</v>
      </c>
      <c r="G170" s="379">
        <v>367</v>
      </c>
      <c r="I170" s="430">
        <f t="shared" si="12"/>
        <v>2135</v>
      </c>
      <c r="J170" s="427"/>
      <c r="K170" s="448">
        <f t="shared" si="11"/>
        <v>-0.11041666666666672</v>
      </c>
    </row>
    <row r="171" spans="1:12" x14ac:dyDescent="0.25">
      <c r="A171" s="175" t="s">
        <v>255</v>
      </c>
      <c r="C171" s="225">
        <v>3800</v>
      </c>
      <c r="E171" s="385">
        <v>2486</v>
      </c>
      <c r="G171" s="379">
        <v>363</v>
      </c>
      <c r="I171" s="430">
        <f t="shared" si="12"/>
        <v>2849</v>
      </c>
      <c r="J171" s="427"/>
      <c r="K171" s="448">
        <f t="shared" si="11"/>
        <v>-0.25026315789473685</v>
      </c>
    </row>
    <row r="172" spans="1:12" x14ac:dyDescent="0.25">
      <c r="A172" s="175" t="s">
        <v>354</v>
      </c>
      <c r="C172" s="225">
        <v>1300</v>
      </c>
      <c r="E172" s="385">
        <v>1963</v>
      </c>
      <c r="G172" s="379">
        <v>70</v>
      </c>
      <c r="I172" s="430">
        <f t="shared" si="12"/>
        <v>2033</v>
      </c>
      <c r="J172" s="427"/>
      <c r="K172" s="448">
        <f t="shared" si="11"/>
        <v>0.56384615384615389</v>
      </c>
    </row>
    <row r="173" spans="1:12" x14ac:dyDescent="0.25">
      <c r="A173" s="175" t="s">
        <v>257</v>
      </c>
      <c r="C173" s="66">
        <v>2700</v>
      </c>
      <c r="E173" s="385">
        <v>3483</v>
      </c>
      <c r="G173" s="379">
        <v>697</v>
      </c>
      <c r="I173" s="430">
        <f t="shared" si="12"/>
        <v>4180</v>
      </c>
      <c r="J173" s="427"/>
      <c r="K173" s="448">
        <f t="shared" si="11"/>
        <v>0.54814814814814805</v>
      </c>
    </row>
    <row r="174" spans="1:12" x14ac:dyDescent="0.25">
      <c r="A174" s="175" t="s">
        <v>244</v>
      </c>
      <c r="C174" s="66">
        <v>750</v>
      </c>
      <c r="E174" s="385">
        <v>1257</v>
      </c>
      <c r="F174" s="164"/>
      <c r="G174" s="379">
        <v>50</v>
      </c>
      <c r="H174" s="164"/>
      <c r="I174" s="455">
        <f t="shared" si="12"/>
        <v>1307</v>
      </c>
      <c r="J174" s="427"/>
      <c r="K174" s="448">
        <f t="shared" si="11"/>
        <v>0.74266666666666659</v>
      </c>
    </row>
    <row r="175" spans="1:12" x14ac:dyDescent="0.25">
      <c r="A175" s="43" t="s">
        <v>353</v>
      </c>
      <c r="C175" s="66"/>
      <c r="E175" s="385">
        <v>0</v>
      </c>
      <c r="G175" s="379">
        <v>0</v>
      </c>
      <c r="I175" s="430"/>
      <c r="J175" s="427"/>
      <c r="K175" s="427"/>
    </row>
    <row r="176" spans="1:12" x14ac:dyDescent="0.25">
      <c r="A176" s="175" t="s">
        <v>257</v>
      </c>
      <c r="C176" s="66">
        <v>1400</v>
      </c>
      <c r="E176" s="385">
        <v>1065</v>
      </c>
      <c r="G176" s="379">
        <v>213</v>
      </c>
      <c r="H176" s="1">
        <v>450</v>
      </c>
      <c r="I176" s="430">
        <f t="shared" si="12"/>
        <v>1278</v>
      </c>
      <c r="J176" s="427"/>
      <c r="K176" s="448">
        <f>+I176/C176-1</f>
        <v>-8.7142857142857189E-2</v>
      </c>
    </row>
    <row r="177" spans="1:14" x14ac:dyDescent="0.25">
      <c r="A177" s="175" t="s">
        <v>354</v>
      </c>
      <c r="C177" s="66">
        <v>6000</v>
      </c>
      <c r="E177" s="385">
        <v>2636</v>
      </c>
      <c r="F177" s="4"/>
      <c r="G177" s="379">
        <v>0</v>
      </c>
      <c r="H177" s="4"/>
      <c r="I177" s="430">
        <f t="shared" si="12"/>
        <v>2636</v>
      </c>
      <c r="J177" s="427"/>
      <c r="K177" s="448">
        <f>+I177/C177-1</f>
        <v>-0.56066666666666665</v>
      </c>
    </row>
    <row r="178" spans="1:14" x14ac:dyDescent="0.25">
      <c r="A178" s="43" t="s">
        <v>355</v>
      </c>
      <c r="C178" s="66"/>
      <c r="E178" s="385"/>
      <c r="F178" s="4"/>
      <c r="G178" s="379"/>
      <c r="H178" s="4"/>
      <c r="I178" s="430"/>
      <c r="J178" s="427"/>
      <c r="K178" s="427"/>
    </row>
    <row r="179" spans="1:14" x14ac:dyDescent="0.25">
      <c r="A179" s="175" t="s">
        <v>356</v>
      </c>
      <c r="C179" s="66">
        <v>10100</v>
      </c>
      <c r="E179" s="385">
        <v>1835</v>
      </c>
      <c r="F179" s="4"/>
      <c r="G179" s="379">
        <v>0</v>
      </c>
      <c r="H179" s="4"/>
      <c r="I179" s="430">
        <f t="shared" si="12"/>
        <v>1835</v>
      </c>
      <c r="J179" s="427"/>
      <c r="K179" s="448">
        <f>+I179/C179-1</f>
        <v>-0.81831683168316838</v>
      </c>
    </row>
    <row r="180" spans="1:14" x14ac:dyDescent="0.25">
      <c r="A180" s="175" t="s">
        <v>256</v>
      </c>
      <c r="C180" s="66">
        <v>2203</v>
      </c>
      <c r="E180" s="385">
        <v>2203</v>
      </c>
      <c r="F180" s="4"/>
      <c r="G180" s="379">
        <v>0</v>
      </c>
      <c r="H180" s="4"/>
      <c r="I180" s="430">
        <f t="shared" si="12"/>
        <v>2203</v>
      </c>
      <c r="J180" s="427"/>
      <c r="K180" s="448">
        <f>+I180/C180-1</f>
        <v>0</v>
      </c>
      <c r="L180" s="48"/>
    </row>
    <row r="181" spans="1:14" x14ac:dyDescent="0.25">
      <c r="A181" s="175" t="s">
        <v>357</v>
      </c>
      <c r="C181" s="66">
        <v>800</v>
      </c>
      <c r="E181" s="385">
        <v>800</v>
      </c>
      <c r="F181" s="4"/>
      <c r="G181" s="379">
        <v>0</v>
      </c>
      <c r="H181" s="4"/>
      <c r="I181" s="430">
        <f t="shared" si="12"/>
        <v>800</v>
      </c>
      <c r="J181" s="427"/>
      <c r="K181" s="448">
        <f>+I181/C181-1</f>
        <v>0</v>
      </c>
      <c r="L181" s="459">
        <f>C77+C78</f>
        <v>22700</v>
      </c>
      <c r="M181" s="48">
        <f>I77+I78</f>
        <v>6743</v>
      </c>
    </row>
    <row r="182" spans="1:14" ht="18" x14ac:dyDescent="0.4">
      <c r="A182" s="175" t="s">
        <v>388</v>
      </c>
      <c r="C182" s="109">
        <v>21500</v>
      </c>
      <c r="E182" s="316">
        <v>8059</v>
      </c>
      <c r="F182" s="4"/>
      <c r="G182" s="310">
        <v>200</v>
      </c>
      <c r="H182" s="4"/>
      <c r="I182" s="433">
        <f>E182+G182</f>
        <v>8259</v>
      </c>
      <c r="J182" s="427"/>
      <c r="K182" s="449">
        <f>+I182/C182-1</f>
        <v>-0.61586046511627912</v>
      </c>
      <c r="L182" s="459">
        <f>C179+C180+C181+C182</f>
        <v>34603</v>
      </c>
      <c r="M182" s="48">
        <f>I179+I180+I181+I182</f>
        <v>13097</v>
      </c>
    </row>
    <row r="183" spans="1:14" ht="18" x14ac:dyDescent="0.4">
      <c r="A183" s="63" t="s">
        <v>262</v>
      </c>
      <c r="C183" s="434">
        <f>SUM(C158:C182)</f>
        <v>161773</v>
      </c>
      <c r="E183" s="44">
        <f>SUM(E158:E182)</f>
        <v>113969</v>
      </c>
      <c r="F183" s="4"/>
      <c r="G183" s="44">
        <f>SUM(G158:G182)</f>
        <v>18246</v>
      </c>
      <c r="H183" s="4"/>
      <c r="I183" s="431">
        <f>SUM(I158:I182)</f>
        <v>132215</v>
      </c>
      <c r="J183" s="459"/>
      <c r="K183" s="449">
        <f>+I183/C183-1</f>
        <v>-0.18271281363391911</v>
      </c>
      <c r="L183" s="459">
        <f>L181-L182</f>
        <v>-11903</v>
      </c>
      <c r="M183" s="48">
        <f>M181-M182</f>
        <v>-6354</v>
      </c>
      <c r="N183" s="1" t="s">
        <v>438</v>
      </c>
    </row>
    <row r="184" spans="1:14" x14ac:dyDescent="0.25">
      <c r="G184" s="1"/>
      <c r="I184" s="1"/>
      <c r="L184" s="459"/>
      <c r="M184" s="48"/>
    </row>
    <row r="185" spans="1:14" x14ac:dyDescent="0.25">
      <c r="A185" s="2" t="s">
        <v>140</v>
      </c>
      <c r="E185" s="66"/>
      <c r="G185" s="30"/>
      <c r="I185" s="30"/>
      <c r="M185" s="48"/>
    </row>
    <row r="186" spans="1:14" s="368" customFormat="1" x14ac:dyDescent="0.25">
      <c r="A186" s="368" t="s">
        <v>123</v>
      </c>
      <c r="E186" s="385"/>
      <c r="G186" s="379"/>
      <c r="I186" s="379"/>
      <c r="M186" s="318"/>
    </row>
    <row r="187" spans="1:14" s="75" customFormat="1" x14ac:dyDescent="0.25">
      <c r="A187" s="258" t="s">
        <v>525</v>
      </c>
      <c r="C187" s="545">
        <v>20000</v>
      </c>
      <c r="E187" s="319">
        <v>20511</v>
      </c>
      <c r="G187" s="387">
        <v>0</v>
      </c>
      <c r="I187" s="435">
        <f t="shared" ref="I187:I192" si="13">E187+G187</f>
        <v>20511</v>
      </c>
      <c r="J187" s="465"/>
      <c r="K187" s="448">
        <f>+I187/C187-1</f>
        <v>2.5549999999999962E-2</v>
      </c>
      <c r="L187" s="92"/>
    </row>
    <row r="188" spans="1:14" s="75" customFormat="1" x14ac:dyDescent="0.25">
      <c r="A188" s="258" t="s">
        <v>526</v>
      </c>
      <c r="C188" s="545">
        <v>2200</v>
      </c>
      <c r="E188" s="319">
        <v>0</v>
      </c>
      <c r="G188" s="387">
        <v>0</v>
      </c>
      <c r="I188" s="435">
        <f t="shared" si="13"/>
        <v>0</v>
      </c>
      <c r="J188" s="465"/>
      <c r="K188" s="448">
        <f>+I188/C188-1</f>
        <v>-1</v>
      </c>
      <c r="L188" s="92"/>
    </row>
    <row r="189" spans="1:14" s="75" customFormat="1" x14ac:dyDescent="0.25">
      <c r="A189" s="75" t="s">
        <v>141</v>
      </c>
      <c r="C189" s="387"/>
      <c r="E189" s="319"/>
      <c r="G189" s="387"/>
      <c r="I189" s="435"/>
      <c r="J189" s="465"/>
      <c r="K189" s="466"/>
      <c r="L189" s="92"/>
    </row>
    <row r="190" spans="1:14" s="75" customFormat="1" x14ac:dyDescent="0.25">
      <c r="A190" s="258" t="s">
        <v>527</v>
      </c>
      <c r="C190" s="361">
        <v>8000</v>
      </c>
      <c r="E190" s="319">
        <f>4940+1950</f>
        <v>6890</v>
      </c>
      <c r="G190" s="387">
        <v>0</v>
      </c>
      <c r="I190" s="435">
        <f t="shared" si="13"/>
        <v>6890</v>
      </c>
      <c r="J190" s="465"/>
      <c r="K190" s="466">
        <f>+I190/C190-1</f>
        <v>-0.13875000000000004</v>
      </c>
      <c r="L190" s="92"/>
    </row>
    <row r="191" spans="1:14" s="75" customFormat="1" x14ac:dyDescent="0.25">
      <c r="A191" s="491" t="s">
        <v>454</v>
      </c>
      <c r="C191" s="387"/>
      <c r="E191" s="319"/>
      <c r="G191" s="387"/>
      <c r="I191" s="435"/>
      <c r="J191" s="465"/>
      <c r="K191" s="466"/>
      <c r="L191" s="92"/>
    </row>
    <row r="192" spans="1:14" s="368" customFormat="1" ht="18" x14ac:dyDescent="0.4">
      <c r="A192" s="320" t="s">
        <v>501</v>
      </c>
      <c r="C192" s="383">
        <v>30000</v>
      </c>
      <c r="D192" s="135"/>
      <c r="E192" s="153">
        <v>0</v>
      </c>
      <c r="F192" s="135"/>
      <c r="G192" s="381">
        <v>0</v>
      </c>
      <c r="H192" s="135"/>
      <c r="I192" s="433">
        <f t="shared" si="13"/>
        <v>0</v>
      </c>
      <c r="J192" s="427"/>
      <c r="K192" s="449">
        <f>+I192/C192-1</f>
        <v>-1</v>
      </c>
      <c r="L192" s="318"/>
    </row>
    <row r="193" spans="1:14" s="368" customFormat="1" ht="18" x14ac:dyDescent="0.4">
      <c r="A193" s="63" t="s">
        <v>263</v>
      </c>
      <c r="C193" s="440">
        <f>SUM(C187:C192)</f>
        <v>60200</v>
      </c>
      <c r="E193" s="290">
        <f>SUM(E187:E192)</f>
        <v>27401</v>
      </c>
      <c r="G193" s="290">
        <f>SUM(G187:G192)</f>
        <v>0</v>
      </c>
      <c r="I193" s="440">
        <f>SUM(I187:I192)</f>
        <v>27401</v>
      </c>
      <c r="J193" s="427"/>
      <c r="K193" s="449">
        <f>+I193/C193-1</f>
        <v>-0.54483388704318936</v>
      </c>
      <c r="L193" s="318"/>
    </row>
    <row r="194" spans="1:14" ht="18" x14ac:dyDescent="0.4">
      <c r="A194" s="320"/>
      <c r="C194" s="66"/>
      <c r="E194" s="68"/>
      <c r="F194" s="4"/>
      <c r="G194" s="44"/>
      <c r="H194" s="4"/>
      <c r="I194" s="44"/>
    </row>
    <row r="195" spans="1:14" ht="18" x14ac:dyDescent="0.4">
      <c r="A195" s="2" t="s">
        <v>237</v>
      </c>
      <c r="C195" s="66"/>
      <c r="E195" s="68"/>
      <c r="F195" s="4"/>
      <c r="G195" s="44"/>
      <c r="H195" s="4"/>
      <c r="I195" s="44"/>
    </row>
    <row r="196" spans="1:14" x14ac:dyDescent="0.25">
      <c r="A196" s="43" t="s">
        <v>238</v>
      </c>
      <c r="C196" s="66">
        <v>29374</v>
      </c>
      <c r="E196" s="67">
        <f>29478+19750</f>
        <v>49228</v>
      </c>
      <c r="F196" s="4"/>
      <c r="G196" s="374">
        <v>0</v>
      </c>
      <c r="H196" s="4"/>
      <c r="I196" s="430">
        <f>E196+G196</f>
        <v>49228</v>
      </c>
      <c r="J196" s="427"/>
      <c r="K196" s="448">
        <f>+I196/C196-1</f>
        <v>0.67590386055695517</v>
      </c>
      <c r="L196" s="48"/>
    </row>
    <row r="197" spans="1:14" ht="18" x14ac:dyDescent="0.4">
      <c r="A197" s="43" t="s">
        <v>239</v>
      </c>
      <c r="C197" s="109">
        <v>4338</v>
      </c>
      <c r="E197" s="68">
        <v>2664</v>
      </c>
      <c r="F197" s="4"/>
      <c r="G197" s="386">
        <v>0</v>
      </c>
      <c r="H197" s="4"/>
      <c r="I197" s="433">
        <f>E197+G197</f>
        <v>2664</v>
      </c>
      <c r="J197" s="427"/>
      <c r="K197" s="449">
        <f>+I197/C197-1</f>
        <v>-0.38589211618257258</v>
      </c>
      <c r="L197" s="48"/>
    </row>
    <row r="198" spans="1:14" ht="18" x14ac:dyDescent="0.4">
      <c r="A198" s="63" t="s">
        <v>240</v>
      </c>
      <c r="C198" s="434">
        <f>SUM(C196:C197)</f>
        <v>33712</v>
      </c>
      <c r="E198" s="68">
        <f>SUM(E196:E197)</f>
        <v>51892</v>
      </c>
      <c r="F198" s="44">
        <f>SUM(F196:F197)</f>
        <v>0</v>
      </c>
      <c r="G198" s="386">
        <f>SUM(G196:G197)</f>
        <v>0</v>
      </c>
      <c r="H198" s="44">
        <f>SUM(H196:H197)</f>
        <v>0</v>
      </c>
      <c r="I198" s="431">
        <f>SUM(I196:I197)</f>
        <v>51892</v>
      </c>
      <c r="J198" s="427"/>
      <c r="K198" s="449">
        <f>+I198/C198-1</f>
        <v>0.53927384907451348</v>
      </c>
    </row>
    <row r="199" spans="1:14" x14ac:dyDescent="0.25">
      <c r="E199" s="66"/>
      <c r="G199" s="1"/>
      <c r="I199" s="427"/>
      <c r="J199" s="427"/>
      <c r="K199" s="427"/>
    </row>
    <row r="200" spans="1:14" ht="18" x14ac:dyDescent="0.4">
      <c r="A200" s="63" t="s">
        <v>264</v>
      </c>
      <c r="C200" s="444">
        <f>C118+C146+C183+C193+C198</f>
        <v>1266135</v>
      </c>
      <c r="E200" s="444">
        <f>E118+E146+E183+E193+E198</f>
        <v>1104903</v>
      </c>
      <c r="F200" s="452"/>
      <c r="G200" s="444">
        <f>G118+G146+G183+G193+G198</f>
        <v>169021</v>
      </c>
      <c r="H200" s="452"/>
      <c r="I200" s="444">
        <f>I118+I146+I183+I193+I198</f>
        <v>1273924</v>
      </c>
      <c r="J200" s="459"/>
      <c r="K200" s="450">
        <f>+I200/C200-1</f>
        <v>6.1517926603402717E-3</v>
      </c>
      <c r="L200" s="167"/>
      <c r="M200" s="48"/>
      <c r="N200" s="167"/>
    </row>
    <row r="201" spans="1:14" x14ac:dyDescent="0.25">
      <c r="E201" s="66"/>
      <c r="G201" s="30"/>
      <c r="I201" s="430"/>
      <c r="J201" s="427"/>
      <c r="K201" s="427"/>
    </row>
    <row r="202" spans="1:14" x14ac:dyDescent="0.25">
      <c r="E202" s="66"/>
      <c r="G202" s="30"/>
      <c r="I202" s="30"/>
    </row>
  </sheetData>
  <mergeCells count="19">
    <mergeCell ref="A151:K151"/>
    <mergeCell ref="E154:I154"/>
    <mergeCell ref="E93:I93"/>
    <mergeCell ref="E45:I45"/>
    <mergeCell ref="A88:K88"/>
    <mergeCell ref="A89:K89"/>
    <mergeCell ref="A90:K90"/>
    <mergeCell ref="A148:K148"/>
    <mergeCell ref="A149:K149"/>
    <mergeCell ref="A41:K41"/>
    <mergeCell ref="A42:K42"/>
    <mergeCell ref="A43:K43"/>
    <mergeCell ref="A87:K87"/>
    <mergeCell ref="A150:K150"/>
    <mergeCell ref="A3:K3"/>
    <mergeCell ref="A2:K2"/>
    <mergeCell ref="A5:K5"/>
    <mergeCell ref="A4:K4"/>
    <mergeCell ref="A40:K40"/>
  </mergeCells>
  <phoneticPr fontId="0" type="noConversion"/>
  <pageMargins left="0.5" right="0.1" top="0.5" bottom="0.25" header="0.25" footer="0"/>
  <pageSetup scale="82" orientation="portrait" r:id="rId1"/>
  <headerFooter alignWithMargins="0">
    <oddFooter>&amp;L&amp;"Times New Roman,Regular"&amp;9&amp;D &amp;C&amp;"Times New Roman,Regular"&amp;9&amp;Z&amp;F&amp;R&amp;"Times New Roman,Regular"&amp;9&amp;A</oddFooter>
  </headerFooter>
  <rowBreaks count="3" manualBreakCount="3">
    <brk id="38" max="10" man="1"/>
    <brk id="85" max="10" man="1"/>
    <brk id="146" max="10"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C53"/>
  <sheetViews>
    <sheetView showGridLines="0" view="pageBreakPreview" topLeftCell="A25" zoomScaleNormal="100" zoomScaleSheetLayoutView="100" workbookViewId="0">
      <selection activeCell="U53" sqref="U53"/>
    </sheetView>
  </sheetViews>
  <sheetFormatPr defaultColWidth="9.77734375" defaultRowHeight="15" x14ac:dyDescent="0.25"/>
  <cols>
    <col min="1" max="1" width="22.33203125" style="194" customWidth="1"/>
    <col min="2" max="2" width="3.33203125" style="194" customWidth="1"/>
    <col min="3" max="3" width="10" style="193" customWidth="1"/>
    <col min="4" max="4" width="0.88671875" style="193" customWidth="1"/>
    <col min="5" max="5" width="11" style="193" bestFit="1" customWidth="1"/>
    <col min="6" max="6" width="0.88671875" style="193" customWidth="1"/>
    <col min="7" max="7" width="10.33203125" style="193" customWidth="1"/>
    <col min="8" max="8" width="0.88671875" style="193" customWidth="1"/>
    <col min="9" max="9" width="8.88671875" style="193" customWidth="1"/>
    <col min="10" max="10" width="0.88671875" style="193" customWidth="1"/>
    <col min="11" max="11" width="9.33203125" style="193" customWidth="1"/>
    <col min="12" max="12" width="0.88671875" style="193" customWidth="1"/>
    <col min="13" max="13" width="10.6640625" style="193" bestFit="1" customWidth="1"/>
    <col min="14" max="14" width="1.77734375" style="193" customWidth="1"/>
    <col min="15" max="15" width="9.77734375" style="193" customWidth="1"/>
    <col min="16" max="16" width="0.88671875" style="193" customWidth="1"/>
    <col min="17" max="17" width="10.21875" style="193" customWidth="1"/>
    <col min="18" max="18" width="0.88671875" style="193" customWidth="1"/>
    <col min="19" max="19" width="9.33203125" style="193" bestFit="1" customWidth="1"/>
    <col min="20" max="20" width="0.88671875" style="193" customWidth="1"/>
    <col min="21" max="21" width="9.88671875" style="193" customWidth="1"/>
    <col min="22" max="22" width="0.88671875" style="193" customWidth="1"/>
    <col min="23" max="23" width="8.6640625" style="193" customWidth="1"/>
    <col min="24" max="25" width="12" style="193" bestFit="1" customWidth="1"/>
    <col min="26" max="26" width="10.44140625" style="193" bestFit="1" customWidth="1"/>
    <col min="27" max="29" width="9.77734375" style="193"/>
    <col min="30" max="16384" width="9.77734375" style="74"/>
  </cols>
  <sheetData>
    <row r="1" spans="1:29" x14ac:dyDescent="0.25">
      <c r="A1" s="626" t="s">
        <v>45</v>
      </c>
      <c r="B1" s="626"/>
      <c r="C1" s="626"/>
      <c r="D1" s="626"/>
      <c r="E1" s="626"/>
      <c r="F1" s="626"/>
      <c r="G1" s="626"/>
      <c r="H1" s="626"/>
      <c r="I1" s="626"/>
      <c r="J1" s="626"/>
      <c r="K1" s="626"/>
      <c r="L1" s="626"/>
      <c r="M1" s="626"/>
      <c r="N1" s="626"/>
      <c r="O1" s="626"/>
      <c r="P1" s="626"/>
      <c r="Q1" s="626"/>
      <c r="R1" s="626"/>
      <c r="S1" s="626"/>
      <c r="T1" s="626"/>
      <c r="U1" s="192" t="s">
        <v>320</v>
      </c>
    </row>
    <row r="2" spans="1:29" x14ac:dyDescent="0.25">
      <c r="A2" s="626" t="s">
        <v>220</v>
      </c>
      <c r="B2" s="626"/>
      <c r="C2" s="626"/>
      <c r="D2" s="626"/>
      <c r="E2" s="626"/>
      <c r="F2" s="626"/>
      <c r="G2" s="626"/>
      <c r="H2" s="626"/>
      <c r="I2" s="626"/>
      <c r="J2" s="626"/>
      <c r="K2" s="626"/>
      <c r="L2" s="626"/>
      <c r="M2" s="626"/>
      <c r="N2" s="626"/>
      <c r="O2" s="626"/>
      <c r="P2" s="626"/>
      <c r="Q2" s="626"/>
      <c r="R2" s="626"/>
      <c r="S2" s="626"/>
      <c r="T2" s="626"/>
      <c r="U2" s="192"/>
    </row>
    <row r="3" spans="1:29" x14ac:dyDescent="0.25">
      <c r="A3" s="626" t="s">
        <v>305</v>
      </c>
      <c r="B3" s="626"/>
      <c r="C3" s="626"/>
      <c r="D3" s="626"/>
      <c r="E3" s="626"/>
      <c r="F3" s="626"/>
      <c r="G3" s="626"/>
      <c r="H3" s="626"/>
      <c r="I3" s="626"/>
      <c r="J3" s="626"/>
      <c r="K3" s="626"/>
      <c r="L3" s="626"/>
      <c r="M3" s="626"/>
      <c r="N3" s="626"/>
      <c r="O3" s="626"/>
      <c r="P3" s="626"/>
      <c r="Q3" s="626"/>
      <c r="R3" s="626"/>
      <c r="S3" s="626"/>
      <c r="T3" s="626"/>
      <c r="U3" s="192"/>
    </row>
    <row r="4" spans="1:29" x14ac:dyDescent="0.25">
      <c r="A4" s="626" t="str">
        <f>'Estimating Schedule - GF'!A5:H5</f>
        <v>Year Ending September 30, 2020</v>
      </c>
      <c r="B4" s="626"/>
      <c r="C4" s="626"/>
      <c r="D4" s="626"/>
      <c r="E4" s="626"/>
      <c r="F4" s="626"/>
      <c r="G4" s="626"/>
      <c r="H4" s="626"/>
      <c r="I4" s="626"/>
      <c r="J4" s="626"/>
      <c r="K4" s="626"/>
      <c r="L4" s="626"/>
      <c r="M4" s="626"/>
      <c r="N4" s="626"/>
      <c r="O4" s="626"/>
      <c r="P4" s="626"/>
      <c r="Q4" s="626"/>
      <c r="R4" s="626"/>
      <c r="S4" s="626"/>
      <c r="T4" s="626"/>
      <c r="U4" s="192"/>
    </row>
    <row r="6" spans="1:29" x14ac:dyDescent="0.25">
      <c r="X6" s="193">
        <v>91269</v>
      </c>
      <c r="Y6" s="193">
        <f>Q11+X6</f>
        <v>762087</v>
      </c>
    </row>
    <row r="7" spans="1:29" x14ac:dyDescent="0.25">
      <c r="C7" s="195" t="s">
        <v>265</v>
      </c>
      <c r="D7" s="196"/>
      <c r="E7" s="195"/>
      <c r="F7" s="196"/>
      <c r="G7" s="195"/>
      <c r="I7" s="195" t="s">
        <v>266</v>
      </c>
      <c r="J7" s="196"/>
      <c r="K7" s="195"/>
      <c r="L7" s="196"/>
      <c r="M7" s="195"/>
      <c r="Q7" s="195"/>
      <c r="R7" s="196"/>
      <c r="S7" s="197" t="s">
        <v>51</v>
      </c>
      <c r="T7" s="196"/>
      <c r="U7" s="195"/>
    </row>
    <row r="8" spans="1:29" x14ac:dyDescent="0.25">
      <c r="A8" s="194" t="s">
        <v>143</v>
      </c>
      <c r="C8" s="198" t="s">
        <v>330</v>
      </c>
      <c r="D8" s="199"/>
      <c r="E8" s="198" t="s">
        <v>326</v>
      </c>
      <c r="F8" s="200"/>
      <c r="G8" s="201">
        <v>2020</v>
      </c>
      <c r="H8" s="200"/>
      <c r="I8" s="198" t="s">
        <v>330</v>
      </c>
      <c r="J8" s="199"/>
      <c r="K8" s="198" t="s">
        <v>326</v>
      </c>
      <c r="L8" s="200"/>
      <c r="M8" s="201">
        <f>G8</f>
        <v>2020</v>
      </c>
      <c r="N8" s="200"/>
      <c r="O8" s="198" t="s">
        <v>365</v>
      </c>
      <c r="P8" s="200"/>
      <c r="Q8" s="198" t="s">
        <v>330</v>
      </c>
      <c r="R8" s="199"/>
      <c r="S8" s="198" t="s">
        <v>326</v>
      </c>
      <c r="T8" s="200"/>
      <c r="U8" s="201">
        <f>G8</f>
        <v>2020</v>
      </c>
      <c r="W8" s="214" t="s">
        <v>363</v>
      </c>
    </row>
    <row r="9" spans="1:29" x14ac:dyDescent="0.25">
      <c r="C9" s="197" t="s">
        <v>81</v>
      </c>
      <c r="E9" s="197" t="s">
        <v>82</v>
      </c>
      <c r="G9" s="197" t="s">
        <v>82</v>
      </c>
      <c r="I9" s="197" t="s">
        <v>81</v>
      </c>
      <c r="K9" s="197" t="s">
        <v>82</v>
      </c>
      <c r="M9" s="197" t="s">
        <v>82</v>
      </c>
      <c r="O9" s="215" t="s">
        <v>83</v>
      </c>
      <c r="Q9" s="197" t="s">
        <v>81</v>
      </c>
      <c r="S9" s="197" t="s">
        <v>82</v>
      </c>
      <c r="U9" s="197" t="s">
        <v>82</v>
      </c>
      <c r="W9" s="215" t="s">
        <v>364</v>
      </c>
    </row>
    <row r="10" spans="1:29" x14ac:dyDescent="0.25">
      <c r="A10" s="202" t="s">
        <v>0</v>
      </c>
      <c r="C10" s="203"/>
      <c r="E10" s="203"/>
      <c r="G10" s="203"/>
      <c r="I10" s="203"/>
      <c r="K10" s="203"/>
      <c r="M10" s="203"/>
      <c r="Q10" s="203"/>
      <c r="S10" s="203"/>
      <c r="U10" s="203"/>
      <c r="W10" s="546"/>
      <c r="X10" s="321"/>
    </row>
    <row r="11" spans="1:29" x14ac:dyDescent="0.25">
      <c r="A11" s="194" t="s">
        <v>144</v>
      </c>
      <c r="B11" s="204"/>
      <c r="C11" s="329">
        <v>314251</v>
      </c>
      <c r="D11" s="203"/>
      <c r="E11" s="328">
        <v>32118</v>
      </c>
      <c r="F11" s="203"/>
      <c r="G11" s="547">
        <f>+C11+E11</f>
        <v>346369</v>
      </c>
      <c r="H11" s="203"/>
      <c r="I11" s="555">
        <v>356567</v>
      </c>
      <c r="J11" s="203"/>
      <c r="K11" s="555">
        <v>59151</v>
      </c>
      <c r="L11" s="555"/>
      <c r="M11" s="555">
        <f>I11+K11</f>
        <v>415718</v>
      </c>
      <c r="O11" s="205">
        <v>634000</v>
      </c>
      <c r="Q11" s="205">
        <f>I11+C11</f>
        <v>670818</v>
      </c>
      <c r="R11" s="203"/>
      <c r="S11" s="205">
        <f>K11+E11</f>
        <v>91269</v>
      </c>
      <c r="T11" s="203"/>
      <c r="U11" s="205">
        <f>Q11+S11</f>
        <v>762087</v>
      </c>
      <c r="W11" s="558">
        <f>+U11/O11-1</f>
        <v>0.20202996845425858</v>
      </c>
      <c r="X11" s="321">
        <f>U11*0.4545</f>
        <v>346368.54149999999</v>
      </c>
      <c r="Y11" s="321">
        <f>U11*0.5454</f>
        <v>415642.24979999999</v>
      </c>
      <c r="Z11" s="226"/>
    </row>
    <row r="12" spans="1:29" ht="17.25" x14ac:dyDescent="0.4">
      <c r="A12" s="194" t="s">
        <v>279</v>
      </c>
      <c r="C12" s="342">
        <v>37</v>
      </c>
      <c r="D12" s="344"/>
      <c r="E12" s="342">
        <v>5</v>
      </c>
      <c r="F12" s="344"/>
      <c r="G12" s="548">
        <f>+C12+E12</f>
        <v>42</v>
      </c>
      <c r="H12" s="203"/>
      <c r="I12" s="552">
        <v>20</v>
      </c>
      <c r="J12" s="207"/>
      <c r="K12" s="553">
        <v>0</v>
      </c>
      <c r="L12" s="553"/>
      <c r="M12" s="552">
        <f>I12+K12</f>
        <v>20</v>
      </c>
      <c r="O12" s="342">
        <v>20</v>
      </c>
      <c r="Q12" s="261">
        <f>I12+C12</f>
        <v>57</v>
      </c>
      <c r="R12" s="261"/>
      <c r="S12" s="330">
        <f>K12+E12</f>
        <v>5</v>
      </c>
      <c r="T12" s="261"/>
      <c r="U12" s="261">
        <f>Q12+S12</f>
        <v>62</v>
      </c>
      <c r="W12" s="557">
        <v>1</v>
      </c>
      <c r="X12" s="226">
        <f>G11/U11</f>
        <v>0.45450060163734585</v>
      </c>
      <c r="Y12" s="226">
        <f>M11/U11</f>
        <v>0.54549939836265415</v>
      </c>
      <c r="Z12" s="226"/>
    </row>
    <row r="13" spans="1:29" ht="17.25" x14ac:dyDescent="0.4">
      <c r="A13" s="194" t="s">
        <v>97</v>
      </c>
      <c r="C13" s="412">
        <f>SUM(C11:C12)</f>
        <v>314288</v>
      </c>
      <c r="D13" s="556"/>
      <c r="E13" s="412">
        <f>SUM(E11:E12)</f>
        <v>32123</v>
      </c>
      <c r="F13" s="556"/>
      <c r="G13" s="548">
        <f>SUM(G11:G12)</f>
        <v>346411</v>
      </c>
      <c r="H13" s="556"/>
      <c r="I13" s="548">
        <f>SUM(I11:I12)</f>
        <v>356587</v>
      </c>
      <c r="J13" s="556"/>
      <c r="K13" s="412">
        <f>SUM(K11:K12)</f>
        <v>59151</v>
      </c>
      <c r="L13" s="556"/>
      <c r="M13" s="412">
        <f>SUM(M11:M12)</f>
        <v>415738</v>
      </c>
      <c r="N13" s="546"/>
      <c r="O13" s="412">
        <f>SUM(O11:O12)</f>
        <v>634020</v>
      </c>
      <c r="P13" s="546"/>
      <c r="Q13" s="412">
        <f>SUM(Q11:Q12)</f>
        <v>670875</v>
      </c>
      <c r="R13" s="556"/>
      <c r="S13" s="412">
        <f>SUM(S11:S12)</f>
        <v>91274</v>
      </c>
      <c r="T13" s="556"/>
      <c r="U13" s="412">
        <f>SUM(U11:U12)</f>
        <v>762149</v>
      </c>
      <c r="V13" s="546"/>
      <c r="W13" s="557">
        <f>+U13/O13-1</f>
        <v>0.20208983943724168</v>
      </c>
      <c r="X13" s="248"/>
      <c r="Y13" s="344"/>
      <c r="Z13" s="344"/>
      <c r="AA13" s="344"/>
      <c r="AB13" s="344"/>
      <c r="AC13" s="344"/>
    </row>
    <row r="14" spans="1:29" ht="9.9499999999999993" customHeight="1" x14ac:dyDescent="0.25">
      <c r="E14" s="321"/>
      <c r="G14" s="549"/>
      <c r="I14" s="554"/>
    </row>
    <row r="15" spans="1:29" x14ac:dyDescent="0.25">
      <c r="A15" s="202" t="s">
        <v>7</v>
      </c>
      <c r="C15" s="203"/>
      <c r="D15" s="203"/>
      <c r="E15" s="322"/>
      <c r="F15" s="203"/>
      <c r="G15" s="203"/>
      <c r="H15" s="203"/>
      <c r="I15" s="203"/>
      <c r="J15" s="203"/>
      <c r="K15" s="203"/>
      <c r="L15" s="203"/>
      <c r="M15" s="203"/>
      <c r="Q15" s="203"/>
      <c r="R15" s="203"/>
      <c r="S15" s="203"/>
      <c r="T15" s="203"/>
      <c r="U15" s="203"/>
      <c r="X15" s="268"/>
      <c r="Y15" s="268"/>
      <c r="Z15" s="268"/>
    </row>
    <row r="16" spans="1:29" x14ac:dyDescent="0.25">
      <c r="A16" s="194" t="s">
        <v>123</v>
      </c>
      <c r="C16" s="203"/>
      <c r="E16" s="322"/>
      <c r="G16" s="203" t="s">
        <v>19</v>
      </c>
      <c r="I16" s="203"/>
      <c r="K16" s="203" t="s">
        <v>19</v>
      </c>
      <c r="M16" s="203" t="s">
        <v>19</v>
      </c>
      <c r="Q16" s="203"/>
      <c r="S16" s="203"/>
      <c r="U16" s="203"/>
      <c r="X16" s="268"/>
      <c r="Y16" s="268"/>
      <c r="Z16" s="268"/>
    </row>
    <row r="17" spans="1:27" x14ac:dyDescent="0.25">
      <c r="A17" s="194" t="s">
        <v>128</v>
      </c>
      <c r="B17" s="204"/>
      <c r="C17" s="331">
        <v>14390</v>
      </c>
      <c r="E17" s="349">
        <v>0</v>
      </c>
      <c r="G17" s="337">
        <f>+C17+E17</f>
        <v>14390</v>
      </c>
      <c r="H17" s="203"/>
      <c r="I17" s="334">
        <v>14390</v>
      </c>
      <c r="K17" s="349">
        <v>0</v>
      </c>
      <c r="M17" s="209">
        <f>I17+K17</f>
        <v>14390</v>
      </c>
      <c r="O17" s="193">
        <v>24030</v>
      </c>
      <c r="Q17" s="203">
        <f>I17+C17</f>
        <v>28780</v>
      </c>
      <c r="S17" s="349">
        <f>K17+E17</f>
        <v>0</v>
      </c>
      <c r="U17" s="203">
        <f>M17+G17</f>
        <v>28780</v>
      </c>
      <c r="W17" s="558">
        <f>+U17/O17-1</f>
        <v>0.19766957969205157</v>
      </c>
    </row>
    <row r="18" spans="1:27" ht="17.25" x14ac:dyDescent="0.4">
      <c r="A18" s="194" t="s">
        <v>145</v>
      </c>
      <c r="C18" s="332">
        <v>0</v>
      </c>
      <c r="E18" s="333">
        <v>3305</v>
      </c>
      <c r="G18" s="330">
        <f>+C18+E18</f>
        <v>3305</v>
      </c>
      <c r="I18" s="335">
        <v>6062</v>
      </c>
      <c r="J18" s="208"/>
      <c r="K18" s="336">
        <f>1212-3305</f>
        <v>-2093</v>
      </c>
      <c r="L18" s="208"/>
      <c r="M18" s="208">
        <f>I18+K18</f>
        <v>3969</v>
      </c>
      <c r="O18" s="216">
        <v>5675</v>
      </c>
      <c r="Q18" s="208">
        <f>I18+C18</f>
        <v>6062</v>
      </c>
      <c r="S18" s="208">
        <f>K18+E18</f>
        <v>1212</v>
      </c>
      <c r="U18" s="208">
        <f>M18+G18</f>
        <v>7274</v>
      </c>
      <c r="W18" s="557">
        <f>+U18/O18-1</f>
        <v>0.28176211453744493</v>
      </c>
      <c r="X18" s="226">
        <f>U18/U11</f>
        <v>9.5448419931057748E-3</v>
      </c>
      <c r="Y18" s="226">
        <f>G18/G11</f>
        <v>9.5418469897710252E-3</v>
      </c>
      <c r="Z18" s="226"/>
    </row>
    <row r="19" spans="1:27" ht="17.25" x14ac:dyDescent="0.4">
      <c r="A19" s="194" t="s">
        <v>134</v>
      </c>
      <c r="B19" s="204"/>
      <c r="C19" s="412">
        <f>SUM(C17:C18)</f>
        <v>14390</v>
      </c>
      <c r="D19" s="546"/>
      <c r="E19" s="412">
        <f>SUM(E17:E18)</f>
        <v>3305</v>
      </c>
      <c r="F19" s="546"/>
      <c r="G19" s="412">
        <f>SUM(G16:G18)</f>
        <v>17695</v>
      </c>
      <c r="H19" s="556"/>
      <c r="I19" s="412">
        <f>SUM(I17:I18)</f>
        <v>20452</v>
      </c>
      <c r="J19" s="546"/>
      <c r="K19" s="412">
        <f>SUM(K17:K18)</f>
        <v>-2093</v>
      </c>
      <c r="L19" s="546"/>
      <c r="M19" s="412">
        <f>SUM(M16:M18)</f>
        <v>18359</v>
      </c>
      <c r="N19" s="546"/>
      <c r="O19" s="559">
        <f>SUM(O17:O18)</f>
        <v>29705</v>
      </c>
      <c r="P19" s="546"/>
      <c r="Q19" s="412">
        <f>SUM(Q17:Q18)</f>
        <v>34842</v>
      </c>
      <c r="R19" s="546"/>
      <c r="S19" s="412">
        <f>SUM(S17:S18)</f>
        <v>1212</v>
      </c>
      <c r="T19" s="546"/>
      <c r="U19" s="412">
        <f>SUM(U17:U18)</f>
        <v>36054</v>
      </c>
      <c r="V19" s="546"/>
      <c r="W19" s="557">
        <f>+U19/O19-1</f>
        <v>0.21373506143746845</v>
      </c>
      <c r="X19" s="209"/>
      <c r="Y19" s="226">
        <f>M18/M11</f>
        <v>9.547337377741643E-3</v>
      </c>
    </row>
    <row r="20" spans="1:27" ht="9.9499999999999993" customHeight="1" x14ac:dyDescent="0.25">
      <c r="C20" s="203"/>
      <c r="E20" s="322"/>
      <c r="G20" s="203"/>
      <c r="I20" s="203"/>
      <c r="K20" s="203"/>
      <c r="M20" s="203"/>
      <c r="Q20" s="203"/>
      <c r="S20" s="203"/>
      <c r="U20" s="203"/>
      <c r="X20" s="226"/>
    </row>
    <row r="21" spans="1:27" x14ac:dyDescent="0.25">
      <c r="A21" s="194" t="s">
        <v>138</v>
      </c>
      <c r="C21" s="203"/>
      <c r="E21" s="322"/>
      <c r="G21" s="203"/>
      <c r="I21" s="550"/>
      <c r="K21" s="203"/>
      <c r="M21" s="203"/>
      <c r="Q21" s="203"/>
      <c r="S21" s="203"/>
      <c r="U21" s="203"/>
    </row>
    <row r="22" spans="1:27" x14ac:dyDescent="0.25">
      <c r="A22" s="194" t="s">
        <v>136</v>
      </c>
      <c r="B22" s="204"/>
      <c r="C22" s="337">
        <v>119515</v>
      </c>
      <c r="E22" s="340">
        <v>13534</v>
      </c>
      <c r="G22" s="337">
        <f>+C22+E22</f>
        <v>133049</v>
      </c>
      <c r="H22" s="203"/>
      <c r="I22" s="550">
        <v>0</v>
      </c>
      <c r="J22" s="349"/>
      <c r="K22" s="349">
        <v>0</v>
      </c>
      <c r="L22" s="349"/>
      <c r="M22" s="349">
        <f t="shared" ref="M22:M29" si="0">I22+K22</f>
        <v>0</v>
      </c>
      <c r="O22" s="193">
        <v>173700</v>
      </c>
      <c r="Q22" s="203">
        <f t="shared" ref="Q22:Q29" si="1">I22+C22</f>
        <v>119515</v>
      </c>
      <c r="S22" s="203">
        <f t="shared" ref="S22:S28" si="2">K22+E22</f>
        <v>13534</v>
      </c>
      <c r="U22" s="209">
        <f t="shared" ref="U22:U28" si="3">Q22+S22</f>
        <v>133049</v>
      </c>
      <c r="W22" s="558">
        <f t="shared" ref="W22:W30" si="4">+U22/O22-1</f>
        <v>-0.23402993667242367</v>
      </c>
    </row>
    <row r="23" spans="1:27" x14ac:dyDescent="0.25">
      <c r="A23" s="194" t="s">
        <v>125</v>
      </c>
      <c r="C23" s="337">
        <v>9096</v>
      </c>
      <c r="E23" s="340">
        <v>498</v>
      </c>
      <c r="G23" s="337">
        <f t="shared" ref="G23:G29" si="5">+C23+E23</f>
        <v>9594</v>
      </c>
      <c r="I23" s="550">
        <v>0</v>
      </c>
      <c r="J23" s="349"/>
      <c r="K23" s="349">
        <v>0</v>
      </c>
      <c r="L23" s="349"/>
      <c r="M23" s="349">
        <f t="shared" si="0"/>
        <v>0</v>
      </c>
      <c r="O23" s="193">
        <v>12950</v>
      </c>
      <c r="Q23" s="203">
        <f t="shared" si="1"/>
        <v>9096</v>
      </c>
      <c r="S23" s="203">
        <f t="shared" si="2"/>
        <v>498</v>
      </c>
      <c r="U23" s="209">
        <f t="shared" si="3"/>
        <v>9594</v>
      </c>
      <c r="W23" s="558">
        <f t="shared" si="4"/>
        <v>-0.25915057915057915</v>
      </c>
      <c r="X23" s="248"/>
    </row>
    <row r="24" spans="1:27" x14ac:dyDescent="0.25">
      <c r="A24" s="194" t="s">
        <v>126</v>
      </c>
      <c r="C24" s="337">
        <v>29938</v>
      </c>
      <c r="E24" s="340">
        <v>5986</v>
      </c>
      <c r="G24" s="337">
        <f t="shared" si="5"/>
        <v>35924</v>
      </c>
      <c r="I24" s="550">
        <v>0</v>
      </c>
      <c r="J24" s="349"/>
      <c r="K24" s="349">
        <v>0</v>
      </c>
      <c r="L24" s="349"/>
      <c r="M24" s="349">
        <f t="shared" si="0"/>
        <v>0</v>
      </c>
      <c r="O24" s="193">
        <v>41000</v>
      </c>
      <c r="Q24" s="203">
        <f t="shared" si="1"/>
        <v>29938</v>
      </c>
      <c r="S24" s="203">
        <f t="shared" si="2"/>
        <v>5986</v>
      </c>
      <c r="U24" s="209">
        <f t="shared" si="3"/>
        <v>35924</v>
      </c>
      <c r="W24" s="558">
        <f t="shared" si="4"/>
        <v>-0.12380487804878049</v>
      </c>
      <c r="X24" s="226"/>
      <c r="Y24" s="226"/>
      <c r="Z24" s="226"/>
      <c r="AA24" s="226"/>
    </row>
    <row r="25" spans="1:27" x14ac:dyDescent="0.25">
      <c r="A25" s="194" t="s">
        <v>418</v>
      </c>
      <c r="C25" s="337">
        <v>13149</v>
      </c>
      <c r="E25" s="340">
        <v>2700</v>
      </c>
      <c r="G25" s="337">
        <f t="shared" si="5"/>
        <v>15849</v>
      </c>
      <c r="I25" s="550">
        <v>0</v>
      </c>
      <c r="J25" s="349"/>
      <c r="K25" s="349">
        <v>0</v>
      </c>
      <c r="L25" s="349"/>
      <c r="M25" s="349">
        <f t="shared" si="0"/>
        <v>0</v>
      </c>
      <c r="O25" s="193">
        <v>9100</v>
      </c>
      <c r="Q25" s="203">
        <f>I25+C25</f>
        <v>13149</v>
      </c>
      <c r="S25" s="203">
        <f>K25+E25</f>
        <v>2700</v>
      </c>
      <c r="U25" s="209">
        <f>Q25+S25</f>
        <v>15849</v>
      </c>
      <c r="W25" s="558">
        <f t="shared" si="4"/>
        <v>0.74164835164835163</v>
      </c>
      <c r="X25" s="226"/>
      <c r="Y25" s="226"/>
      <c r="Z25" s="226"/>
    </row>
    <row r="26" spans="1:27" x14ac:dyDescent="0.25">
      <c r="A26" s="194" t="s">
        <v>419</v>
      </c>
      <c r="C26" s="337">
        <f>53375-42646</f>
        <v>10729</v>
      </c>
      <c r="E26" s="340">
        <v>10000</v>
      </c>
      <c r="G26" s="337">
        <f t="shared" si="5"/>
        <v>20729</v>
      </c>
      <c r="I26" s="550">
        <v>0</v>
      </c>
      <c r="J26" s="349"/>
      <c r="K26" s="349">
        <v>0</v>
      </c>
      <c r="L26" s="349"/>
      <c r="M26" s="349">
        <f t="shared" si="0"/>
        <v>0</v>
      </c>
      <c r="O26" s="193">
        <v>15700</v>
      </c>
      <c r="Q26" s="203">
        <f>I26+C26</f>
        <v>10729</v>
      </c>
      <c r="S26" s="203">
        <f>K26+E26</f>
        <v>10000</v>
      </c>
      <c r="U26" s="209">
        <f>Q26+S26</f>
        <v>20729</v>
      </c>
      <c r="W26" s="558">
        <f t="shared" si="4"/>
        <v>0.32031847133757951</v>
      </c>
      <c r="X26" s="321">
        <f>25944+16702</f>
        <v>42646</v>
      </c>
      <c r="Y26" s="226"/>
      <c r="Z26" s="226"/>
    </row>
    <row r="27" spans="1:27" x14ac:dyDescent="0.25">
      <c r="A27" s="194" t="s">
        <v>420</v>
      </c>
      <c r="C27" s="337">
        <v>16744</v>
      </c>
      <c r="E27" s="340">
        <v>3348</v>
      </c>
      <c r="G27" s="337">
        <f t="shared" si="5"/>
        <v>20092</v>
      </c>
      <c r="I27" s="550">
        <v>0</v>
      </c>
      <c r="J27" s="349"/>
      <c r="K27" s="349">
        <v>0</v>
      </c>
      <c r="L27" s="349"/>
      <c r="M27" s="349">
        <f t="shared" si="0"/>
        <v>0</v>
      </c>
      <c r="N27" s="193" t="s">
        <v>19</v>
      </c>
      <c r="O27" s="193">
        <v>12700</v>
      </c>
      <c r="Q27" s="203">
        <f t="shared" si="1"/>
        <v>16744</v>
      </c>
      <c r="S27" s="203">
        <f t="shared" si="2"/>
        <v>3348</v>
      </c>
      <c r="U27" s="209">
        <f>Q27+S27</f>
        <v>20092</v>
      </c>
      <c r="W27" s="558">
        <f t="shared" si="4"/>
        <v>0.58204724409448816</v>
      </c>
      <c r="X27" s="226"/>
      <c r="Y27" s="226"/>
    </row>
    <row r="28" spans="1:27" x14ac:dyDescent="0.25">
      <c r="A28" s="194" t="s">
        <v>133</v>
      </c>
      <c r="C28" s="337">
        <v>8640</v>
      </c>
      <c r="E28" s="340">
        <v>1728</v>
      </c>
      <c r="G28" s="337">
        <f t="shared" si="5"/>
        <v>10368</v>
      </c>
      <c r="I28" s="550">
        <v>0</v>
      </c>
      <c r="J28" s="349"/>
      <c r="K28" s="349">
        <v>0</v>
      </c>
      <c r="L28" s="349"/>
      <c r="M28" s="349">
        <f t="shared" si="0"/>
        <v>0</v>
      </c>
      <c r="O28" s="193">
        <v>13800</v>
      </c>
      <c r="Q28" s="203">
        <f t="shared" si="1"/>
        <v>8640</v>
      </c>
      <c r="S28" s="203">
        <f t="shared" si="2"/>
        <v>1728</v>
      </c>
      <c r="U28" s="209">
        <f t="shared" si="3"/>
        <v>10368</v>
      </c>
      <c r="W28" s="558">
        <f t="shared" si="4"/>
        <v>-0.2486956521739131</v>
      </c>
    </row>
    <row r="29" spans="1:27" ht="17.25" x14ac:dyDescent="0.4">
      <c r="A29" s="194" t="s">
        <v>146</v>
      </c>
      <c r="C29" s="338">
        <v>0</v>
      </c>
      <c r="D29" s="206"/>
      <c r="E29" s="339">
        <v>0</v>
      </c>
      <c r="F29" s="206"/>
      <c r="G29" s="330">
        <f t="shared" si="5"/>
        <v>0</v>
      </c>
      <c r="I29" s="551">
        <v>29469</v>
      </c>
      <c r="J29" s="321"/>
      <c r="K29" s="341">
        <v>5937</v>
      </c>
      <c r="L29" s="321"/>
      <c r="M29" s="264">
        <f t="shared" si="0"/>
        <v>35406</v>
      </c>
      <c r="O29" s="216">
        <v>30000</v>
      </c>
      <c r="Q29" s="208">
        <f t="shared" si="1"/>
        <v>29469</v>
      </c>
      <c r="S29" s="208">
        <f>K29+E29</f>
        <v>5937</v>
      </c>
      <c r="U29" s="208">
        <f>Q29+S29</f>
        <v>35406</v>
      </c>
      <c r="W29" s="557">
        <f t="shared" si="4"/>
        <v>0.18019999999999992</v>
      </c>
    </row>
    <row r="30" spans="1:27" ht="17.25" x14ac:dyDescent="0.4">
      <c r="A30" s="194" t="s">
        <v>139</v>
      </c>
      <c r="B30" s="204"/>
      <c r="C30" s="208">
        <f>SUM(C22:C29)</f>
        <v>207811</v>
      </c>
      <c r="E30" s="324">
        <f>SUM(E22:E29)</f>
        <v>37794</v>
      </c>
      <c r="G30" s="208">
        <f>SUM(G22:G29)</f>
        <v>245605</v>
      </c>
      <c r="H30" s="203"/>
      <c r="I30" s="551">
        <f>SUM(I22:I29)</f>
        <v>29469</v>
      </c>
      <c r="K30" s="208">
        <f>SUM(K27:K29)</f>
        <v>5937</v>
      </c>
      <c r="M30" s="208">
        <f>SUM(M27:M29)</f>
        <v>35406</v>
      </c>
      <c r="O30" s="559">
        <f>SUM(O22:O29)</f>
        <v>308950</v>
      </c>
      <c r="Q30" s="208">
        <f>SUM(Q22:Q29)</f>
        <v>237280</v>
      </c>
      <c r="S30" s="208">
        <f>SUM(S22:S29)</f>
        <v>43731</v>
      </c>
      <c r="U30" s="208">
        <f>SUM(U22:U29)</f>
        <v>281011</v>
      </c>
      <c r="W30" s="557">
        <f t="shared" si="4"/>
        <v>-9.0432108755462037E-2</v>
      </c>
    </row>
    <row r="31" spans="1:27" ht="9.9499999999999993" customHeight="1" x14ac:dyDescent="0.25">
      <c r="C31" s="203"/>
      <c r="E31" s="322"/>
      <c r="G31" s="203"/>
      <c r="I31" s="203"/>
      <c r="K31" s="203"/>
      <c r="M31" s="203"/>
      <c r="Q31" s="203"/>
      <c r="S31" s="203"/>
      <c r="U31" s="203"/>
      <c r="W31" s="546"/>
    </row>
    <row r="32" spans="1:27" x14ac:dyDescent="0.25">
      <c r="A32" s="194" t="s">
        <v>11</v>
      </c>
      <c r="E32" s="321"/>
      <c r="W32" s="546"/>
    </row>
    <row r="33" spans="1:29" ht="17.25" x14ac:dyDescent="0.4">
      <c r="A33" s="194" t="s">
        <v>147</v>
      </c>
      <c r="C33" s="210">
        <v>10388</v>
      </c>
      <c r="E33" s="342">
        <v>2078</v>
      </c>
      <c r="G33" s="330">
        <f>+C33+E33</f>
        <v>12466</v>
      </c>
      <c r="I33" s="207">
        <v>0</v>
      </c>
      <c r="J33" s="206"/>
      <c r="K33" s="207">
        <v>0</v>
      </c>
      <c r="L33" s="206"/>
      <c r="M33" s="207">
        <f>I33+K33</f>
        <v>0</v>
      </c>
      <c r="O33" s="216">
        <v>18800</v>
      </c>
      <c r="Q33" s="208">
        <f>I33+C33</f>
        <v>10388</v>
      </c>
      <c r="S33" s="341">
        <f>K33+E33</f>
        <v>2078</v>
      </c>
      <c r="U33" s="208">
        <f>Q33+S33</f>
        <v>12466</v>
      </c>
      <c r="W33" s="557">
        <f>+U33/O33-1</f>
        <v>-0.33691489361702132</v>
      </c>
    </row>
    <row r="34" spans="1:29" ht="9.9499999999999993" customHeight="1" x14ac:dyDescent="0.25">
      <c r="E34" s="321"/>
      <c r="W34" s="546"/>
    </row>
    <row r="35" spans="1:29" x14ac:dyDescent="0.25">
      <c r="A35" s="194" t="s">
        <v>162</v>
      </c>
      <c r="E35" s="321"/>
      <c r="W35" s="546"/>
    </row>
    <row r="36" spans="1:29" x14ac:dyDescent="0.25">
      <c r="A36" s="257" t="s">
        <v>494</v>
      </c>
      <c r="C36" s="349">
        <f>10630+42646</f>
        <v>53276</v>
      </c>
      <c r="D36" s="349"/>
      <c r="E36" s="349">
        <v>0</v>
      </c>
      <c r="F36" s="349"/>
      <c r="G36" s="349">
        <f t="shared" ref="G36:G37" si="6">C36+E36</f>
        <v>53276</v>
      </c>
      <c r="H36" s="349"/>
      <c r="I36" s="349">
        <v>0</v>
      </c>
      <c r="J36" s="349"/>
      <c r="K36" s="349">
        <v>0</v>
      </c>
      <c r="L36" s="349"/>
      <c r="M36" s="349">
        <f t="shared" ref="M36:M37" si="7">I36+K36</f>
        <v>0</v>
      </c>
      <c r="N36" s="321"/>
      <c r="O36" s="321">
        <v>45000</v>
      </c>
      <c r="P36" s="321"/>
      <c r="Q36" s="337">
        <f t="shared" ref="Q36" si="8">I36+C36</f>
        <v>53276</v>
      </c>
      <c r="R36" s="349"/>
      <c r="S36" s="349">
        <v>0</v>
      </c>
      <c r="T36" s="349"/>
      <c r="U36" s="349">
        <f t="shared" ref="U36" si="9">Q36+S36</f>
        <v>53276</v>
      </c>
      <c r="V36" s="321"/>
      <c r="W36" s="558">
        <f t="shared" ref="W36" si="10">+U36/O36-1</f>
        <v>0.18391111111111114</v>
      </c>
      <c r="X36" s="321"/>
      <c r="Y36" s="321"/>
      <c r="Z36" s="321"/>
      <c r="AA36" s="321"/>
      <c r="AB36" s="321"/>
      <c r="AC36" s="321"/>
    </row>
    <row r="37" spans="1:29" ht="17.25" x14ac:dyDescent="0.4">
      <c r="A37" s="257" t="s">
        <v>431</v>
      </c>
      <c r="C37" s="207">
        <v>0</v>
      </c>
      <c r="D37" s="207"/>
      <c r="E37" s="323">
        <v>0</v>
      </c>
      <c r="F37" s="207"/>
      <c r="G37" s="344">
        <f t="shared" si="6"/>
        <v>0</v>
      </c>
      <c r="H37" s="207"/>
      <c r="I37" s="253">
        <v>0</v>
      </c>
      <c r="J37" s="207"/>
      <c r="K37" s="253">
        <v>0</v>
      </c>
      <c r="L37" s="207"/>
      <c r="M37" s="253">
        <f t="shared" si="7"/>
        <v>0</v>
      </c>
      <c r="N37" s="207"/>
      <c r="O37" s="253">
        <v>50000</v>
      </c>
      <c r="P37" s="207"/>
      <c r="Q37" s="253">
        <f t="shared" ref="Q37" si="11">I37+C37</f>
        <v>0</v>
      </c>
      <c r="R37" s="207"/>
      <c r="S37" s="253">
        <f t="shared" ref="S37" si="12">K37+E37</f>
        <v>0</v>
      </c>
      <c r="T37" s="207"/>
      <c r="U37" s="253">
        <f t="shared" ref="U37" si="13">M37+G37</f>
        <v>0</v>
      </c>
      <c r="W37" s="557">
        <v>0</v>
      </c>
    </row>
    <row r="38" spans="1:29" ht="17.25" x14ac:dyDescent="0.4">
      <c r="A38" s="257" t="s">
        <v>504</v>
      </c>
      <c r="C38" s="342">
        <f>SUM(C36:C37)</f>
        <v>53276</v>
      </c>
      <c r="D38" s="344"/>
      <c r="E38" s="344">
        <f>SUM(E36:E37)</f>
        <v>0</v>
      </c>
      <c r="F38" s="344"/>
      <c r="G38" s="342">
        <f>SUM(G36:G37)</f>
        <v>53276</v>
      </c>
      <c r="H38" s="344"/>
      <c r="I38" s="344">
        <f>SUM(I36:I37)</f>
        <v>0</v>
      </c>
      <c r="J38" s="344"/>
      <c r="K38" s="344">
        <f>SUM(K36:K37)</f>
        <v>0</v>
      </c>
      <c r="L38" s="344"/>
      <c r="M38" s="344">
        <f>SUM(M36:M37)</f>
        <v>0</v>
      </c>
      <c r="N38" s="344"/>
      <c r="O38" s="560">
        <f>SUM(O36:O37)</f>
        <v>95000</v>
      </c>
      <c r="P38" s="344"/>
      <c r="Q38" s="560">
        <f>SUM(Q36:Q37)</f>
        <v>53276</v>
      </c>
      <c r="R38" s="344"/>
      <c r="S38" s="342">
        <f>SUM(S36:S37)</f>
        <v>0</v>
      </c>
      <c r="T38" s="342"/>
      <c r="U38" s="342">
        <f>SUM(U36:U37)</f>
        <v>53276</v>
      </c>
      <c r="V38" s="321"/>
      <c r="W38" s="557">
        <v>0</v>
      </c>
      <c r="X38" s="321"/>
      <c r="Y38" s="321"/>
      <c r="Z38" s="321"/>
      <c r="AA38" s="321"/>
      <c r="AB38" s="321"/>
      <c r="AC38" s="321"/>
    </row>
    <row r="39" spans="1:29" ht="17.25" x14ac:dyDescent="0.4">
      <c r="C39" s="208"/>
      <c r="E39" s="324"/>
      <c r="G39" s="208"/>
      <c r="I39" s="208"/>
      <c r="K39" s="208"/>
      <c r="M39" s="208"/>
      <c r="Q39" s="208"/>
      <c r="S39" s="208"/>
      <c r="U39" s="208"/>
      <c r="W39" s="546"/>
    </row>
    <row r="40" spans="1:29" ht="17.25" x14ac:dyDescent="0.4">
      <c r="A40" s="194" t="s">
        <v>14</v>
      </c>
      <c r="B40" s="204"/>
      <c r="C40" s="208">
        <f>C19+C30+C33+C38</f>
        <v>285865</v>
      </c>
      <c r="E40" s="324">
        <f>E19+E30+E33+E38</f>
        <v>43177</v>
      </c>
      <c r="G40" s="208">
        <f>C40+E40</f>
        <v>329042</v>
      </c>
      <c r="H40" s="203"/>
      <c r="I40" s="208">
        <f>I19+I30+I33+I386</f>
        <v>49921</v>
      </c>
      <c r="K40" s="341">
        <f>K19+K30+K33+K386</f>
        <v>3844</v>
      </c>
      <c r="M40" s="208">
        <f>I40+K40</f>
        <v>53765</v>
      </c>
      <c r="O40" s="412">
        <f>O19+O30+O33+O38</f>
        <v>452455</v>
      </c>
      <c r="Q40" s="208">
        <f>Q19+Q30+Q33+Q38</f>
        <v>335786</v>
      </c>
      <c r="S40" s="208">
        <f>S19+S30+S33+S386</f>
        <v>47021</v>
      </c>
      <c r="U40" s="208">
        <f>Q40+S40</f>
        <v>382807</v>
      </c>
      <c r="W40" s="557">
        <f>+U40/O40-1</f>
        <v>-0.15393354035207918</v>
      </c>
    </row>
    <row r="41" spans="1:29" ht="9.9499999999999993" customHeight="1" x14ac:dyDescent="0.25">
      <c r="C41" s="203"/>
      <c r="E41" s="322"/>
      <c r="G41" s="203"/>
      <c r="I41" s="203"/>
      <c r="K41" s="203"/>
      <c r="M41" s="203"/>
      <c r="Q41" s="203"/>
      <c r="S41" s="203"/>
      <c r="U41" s="203"/>
      <c r="W41" s="546"/>
    </row>
    <row r="42" spans="1:29" x14ac:dyDescent="0.25">
      <c r="A42" s="194" t="s">
        <v>86</v>
      </c>
      <c r="E42" s="321"/>
      <c r="W42" s="546"/>
    </row>
    <row r="43" spans="1:29" ht="17.25" x14ac:dyDescent="0.4">
      <c r="A43" s="194" t="s">
        <v>149</v>
      </c>
      <c r="B43" s="204"/>
      <c r="C43" s="208">
        <f>C13-C40</f>
        <v>28423</v>
      </c>
      <c r="D43" s="211"/>
      <c r="E43" s="324">
        <f>E13-E40</f>
        <v>-11054</v>
      </c>
      <c r="F43" s="211"/>
      <c r="G43" s="208">
        <f>G13-G40</f>
        <v>17369</v>
      </c>
      <c r="H43" s="212"/>
      <c r="I43" s="208">
        <f>I13-I40</f>
        <v>306666</v>
      </c>
      <c r="J43" s="211"/>
      <c r="K43" s="208">
        <f>K13-K40</f>
        <v>55307</v>
      </c>
      <c r="L43" s="211"/>
      <c r="M43" s="208">
        <f>M13-M40</f>
        <v>361973</v>
      </c>
      <c r="N43" s="211"/>
      <c r="O43" s="412">
        <f>O13-O40</f>
        <v>181565</v>
      </c>
      <c r="P43" s="211"/>
      <c r="Q43" s="208">
        <f>Q13-Q40</f>
        <v>335089</v>
      </c>
      <c r="R43" s="211"/>
      <c r="S43" s="208">
        <f>S13-S40</f>
        <v>44253</v>
      </c>
      <c r="T43" s="211"/>
      <c r="U43" s="208">
        <f>U13-U40</f>
        <v>379342</v>
      </c>
      <c r="W43" s="557">
        <f>+U43/O43-1</f>
        <v>1.0892903367939857</v>
      </c>
    </row>
    <row r="44" spans="1:29" ht="9.9499999999999993" customHeight="1" x14ac:dyDescent="0.25">
      <c r="E44" s="321"/>
      <c r="W44" s="546"/>
    </row>
    <row r="45" spans="1:29" x14ac:dyDescent="0.25">
      <c r="A45" s="202" t="s">
        <v>16</v>
      </c>
      <c r="E45" s="321"/>
      <c r="W45" s="546"/>
    </row>
    <row r="46" spans="1:29" x14ac:dyDescent="0.25">
      <c r="A46" s="194" t="s">
        <v>433</v>
      </c>
      <c r="C46" s="343">
        <f>-I48</f>
        <v>100000</v>
      </c>
      <c r="D46" s="254"/>
      <c r="E46" s="345">
        <f>-K48</f>
        <v>225000</v>
      </c>
      <c r="F46" s="254"/>
      <c r="G46" s="254">
        <f>C46+E46</f>
        <v>325000</v>
      </c>
      <c r="H46" s="206"/>
      <c r="I46" s="348">
        <v>0</v>
      </c>
      <c r="J46" s="206"/>
      <c r="K46" s="254">
        <v>0</v>
      </c>
      <c r="L46" s="254"/>
      <c r="M46" s="347">
        <v>0</v>
      </c>
      <c r="N46" s="206"/>
      <c r="O46" s="254">
        <v>250000</v>
      </c>
      <c r="P46" s="206"/>
      <c r="Q46" s="254">
        <f>I46+C46</f>
        <v>100000</v>
      </c>
      <c r="R46" s="206"/>
      <c r="S46" s="254">
        <f>K46+E46</f>
        <v>225000</v>
      </c>
      <c r="T46" s="254"/>
      <c r="U46" s="254">
        <f>M46+G46</f>
        <v>325000</v>
      </c>
      <c r="W46" s="558">
        <f t="shared" ref="W46:W48" si="14">+U46/O46-1</f>
        <v>0.30000000000000004</v>
      </c>
    </row>
    <row r="47" spans="1:29" x14ac:dyDescent="0.25">
      <c r="A47" s="194" t="s">
        <v>446</v>
      </c>
      <c r="C47" s="343">
        <v>-60000</v>
      </c>
      <c r="D47" s="206"/>
      <c r="E47" s="345">
        <v>-220000</v>
      </c>
      <c r="F47" s="206"/>
      <c r="G47" s="254">
        <f t="shared" ref="G47:G48" si="15">C47+E47</f>
        <v>-280000</v>
      </c>
      <c r="H47" s="206"/>
      <c r="I47" s="348">
        <v>0</v>
      </c>
      <c r="J47" s="206"/>
      <c r="K47" s="206">
        <v>0</v>
      </c>
      <c r="L47" s="206"/>
      <c r="M47" s="346">
        <v>0</v>
      </c>
      <c r="N47" s="206"/>
      <c r="O47" s="254">
        <v>-175000</v>
      </c>
      <c r="P47" s="206"/>
      <c r="Q47" s="254">
        <f>I47+C47</f>
        <v>-60000</v>
      </c>
      <c r="R47" s="206"/>
      <c r="S47" s="349">
        <f>K47+E47</f>
        <v>-220000</v>
      </c>
      <c r="T47" s="206"/>
      <c r="U47" s="254">
        <f>M47+G47</f>
        <v>-280000</v>
      </c>
      <c r="W47" s="558">
        <f t="shared" si="14"/>
        <v>0.60000000000000009</v>
      </c>
    </row>
    <row r="48" spans="1:29" ht="17.25" x14ac:dyDescent="0.4">
      <c r="A48" s="194" t="s">
        <v>453</v>
      </c>
      <c r="C48" s="264">
        <v>0</v>
      </c>
      <c r="D48" s="601"/>
      <c r="E48" s="264">
        <v>0</v>
      </c>
      <c r="F48" s="264"/>
      <c r="G48" s="264">
        <f t="shared" si="15"/>
        <v>0</v>
      </c>
      <c r="H48" s="216"/>
      <c r="I48" s="264">
        <v>-100000</v>
      </c>
      <c r="J48" s="264"/>
      <c r="K48" s="264">
        <v>-225000</v>
      </c>
      <c r="L48" s="264"/>
      <c r="M48" s="264">
        <f t="shared" ref="M48" si="16">I48+K48</f>
        <v>-325000</v>
      </c>
      <c r="N48" s="601"/>
      <c r="O48" s="264">
        <v>-250000</v>
      </c>
      <c r="P48" s="601"/>
      <c r="Q48" s="264">
        <f>I48+C48</f>
        <v>-100000</v>
      </c>
      <c r="R48" s="601"/>
      <c r="S48" s="264">
        <f>K48+E48</f>
        <v>-225000</v>
      </c>
      <c r="T48" s="264"/>
      <c r="U48" s="264">
        <f>M48+G48</f>
        <v>-325000</v>
      </c>
      <c r="V48" s="216"/>
      <c r="W48" s="602">
        <f t="shared" si="14"/>
        <v>0.30000000000000004</v>
      </c>
    </row>
    <row r="49" spans="1:23" ht="17.25" x14ac:dyDescent="0.4">
      <c r="A49" s="194" t="s">
        <v>17</v>
      </c>
      <c r="C49" s="253">
        <f>SUM(C46:C48)</f>
        <v>40000</v>
      </c>
      <c r="D49" s="207"/>
      <c r="E49" s="327">
        <f>SUM(E46:E48)</f>
        <v>5000</v>
      </c>
      <c r="F49" s="207"/>
      <c r="G49" s="253">
        <f>SUM(G46:G48)</f>
        <v>45000</v>
      </c>
      <c r="I49" s="342">
        <f>SUM(I46:I48)</f>
        <v>-100000</v>
      </c>
      <c r="K49" s="210">
        <f>SUM(K46:K48)</f>
        <v>-225000</v>
      </c>
      <c r="L49" s="193" t="s">
        <v>366</v>
      </c>
      <c r="M49" s="210">
        <f>SUM(M46:M48)</f>
        <v>-325000</v>
      </c>
      <c r="O49" s="561">
        <f>SUM(O46:O48)</f>
        <v>-175000</v>
      </c>
      <c r="Q49" s="342">
        <f>SUM(Q46:Q48)</f>
        <v>-60000</v>
      </c>
      <c r="S49" s="210">
        <f>SUM(S46:S48)</f>
        <v>-220000</v>
      </c>
      <c r="U49" s="210">
        <f>SUM(U46:U48)</f>
        <v>-280000</v>
      </c>
      <c r="W49" s="557">
        <f>+U49/O49-1</f>
        <v>0.60000000000000009</v>
      </c>
    </row>
    <row r="50" spans="1:23" ht="9.9499999999999993" customHeight="1" x14ac:dyDescent="0.4">
      <c r="C50" s="210"/>
      <c r="E50" s="325"/>
      <c r="G50" s="210"/>
      <c r="I50" s="210"/>
      <c r="K50" s="210"/>
      <c r="M50" s="210"/>
      <c r="Q50" s="210"/>
      <c r="S50" s="210"/>
      <c r="U50" s="210"/>
      <c r="W50" s="546"/>
    </row>
    <row r="51" spans="1:23" x14ac:dyDescent="0.25">
      <c r="A51" s="194" t="s">
        <v>272</v>
      </c>
      <c r="E51" s="321"/>
      <c r="W51" s="546"/>
    </row>
    <row r="52" spans="1:23" ht="17.25" x14ac:dyDescent="0.4">
      <c r="A52" s="194" t="s">
        <v>336</v>
      </c>
      <c r="E52" s="321"/>
      <c r="W52" s="424"/>
    </row>
    <row r="53" spans="1:23" ht="17.25" customHeight="1" x14ac:dyDescent="0.4">
      <c r="A53" s="194" t="s">
        <v>87</v>
      </c>
      <c r="C53" s="213">
        <f>C43+C49</f>
        <v>68423</v>
      </c>
      <c r="D53" s="213"/>
      <c r="E53" s="326">
        <f>E43+E49</f>
        <v>-6054</v>
      </c>
      <c r="F53" s="213"/>
      <c r="G53" s="213">
        <f>G43+G49</f>
        <v>62369</v>
      </c>
      <c r="H53" s="213"/>
      <c r="I53" s="213">
        <f>I43+I49</f>
        <v>206666</v>
      </c>
      <c r="J53" s="213"/>
      <c r="K53" s="213">
        <f>K43+K49</f>
        <v>-169693</v>
      </c>
      <c r="L53" s="213"/>
      <c r="M53" s="213">
        <f>M49+M43</f>
        <v>36973</v>
      </c>
      <c r="N53" s="213"/>
      <c r="O53" s="424">
        <f>O49+O43</f>
        <v>6565</v>
      </c>
      <c r="P53" s="213"/>
      <c r="Q53" s="213">
        <f>Q49+Q43</f>
        <v>275089</v>
      </c>
      <c r="R53" s="213"/>
      <c r="S53" s="213">
        <f>S49+S43</f>
        <v>-175747</v>
      </c>
      <c r="T53" s="213"/>
      <c r="U53" s="213">
        <f>U49+U43</f>
        <v>99342</v>
      </c>
      <c r="W53" s="562">
        <f>+U53/O53-1</f>
        <v>14.132063975628332</v>
      </c>
    </row>
  </sheetData>
  <mergeCells count="4">
    <mergeCell ref="A1:T1"/>
    <mergeCell ref="A2:T2"/>
    <mergeCell ref="A3:T3"/>
    <mergeCell ref="A4:T4"/>
  </mergeCells>
  <phoneticPr fontId="0" type="noConversion"/>
  <printOptions horizontalCentered="1"/>
  <pageMargins left="0" right="0" top="0.25" bottom="0.25" header="0.25" footer="0"/>
  <pageSetup scale="71" orientation="landscape" r:id="rId1"/>
  <headerFooter alignWithMargins="0">
    <oddFooter>&amp;L&amp;"Times New Roman,Regular"&amp;9&amp;D &amp;C&amp;"Times New Roman,Regular"&amp;9&amp;Z&amp;F&amp;R&amp;"Times New Roman,Regular"&amp;9&amp;A</oddFooter>
  </headerFooter>
  <ignoredErrors>
    <ignoredError sqref="K30"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W30"/>
  <sheetViews>
    <sheetView view="pageBreakPreview" zoomScaleNormal="75" workbookViewId="0">
      <selection activeCell="W14" sqref="W14"/>
    </sheetView>
  </sheetViews>
  <sheetFormatPr defaultColWidth="9.77734375" defaultRowHeight="15.75" x14ac:dyDescent="0.25"/>
  <cols>
    <col min="1" max="1" width="10.77734375" style="1" customWidth="1"/>
    <col min="2" max="2" width="7.77734375" style="1" customWidth="1"/>
    <col min="3" max="3" width="14.5546875" style="1" customWidth="1"/>
    <col min="4" max="4" width="3.21875" style="1" customWidth="1"/>
    <col min="5" max="5" width="9.33203125" style="1" customWidth="1"/>
    <col min="6" max="6" width="1.33203125" style="1" customWidth="1"/>
    <col min="7" max="7" width="9.33203125" style="21" customWidth="1"/>
    <col min="8" max="8" width="1.33203125" style="1" customWidth="1"/>
    <col min="9" max="9" width="9.33203125" style="21" customWidth="1"/>
    <col min="10" max="10" width="1.33203125" style="1" customWidth="1"/>
    <col min="11" max="11" width="9.33203125" style="21" customWidth="1"/>
    <col min="12" max="12" width="1.33203125" style="1" customWidth="1"/>
    <col min="13" max="13" width="9.33203125" style="1" customWidth="1"/>
    <col min="14" max="14" width="7.44140625" style="1" customWidth="1"/>
    <col min="15" max="15" width="9.77734375" style="21" hidden="1" customWidth="1"/>
    <col min="16" max="16" width="1.77734375" style="1" hidden="1" customWidth="1"/>
    <col min="17" max="17" width="9.77734375" style="21" hidden="1" customWidth="1"/>
    <col min="18" max="18" width="1.77734375" style="1" hidden="1" customWidth="1"/>
    <col min="19" max="19" width="9.77734375" style="21" hidden="1" customWidth="1"/>
    <col min="20" max="20" width="7.33203125" style="1" customWidth="1"/>
    <col min="21" max="21" width="8" style="1" customWidth="1"/>
    <col min="22" max="16384" width="9.77734375" style="1"/>
  </cols>
  <sheetData>
    <row r="1" spans="1:19" x14ac:dyDescent="0.25">
      <c r="M1" s="19" t="s">
        <v>321</v>
      </c>
    </row>
    <row r="2" spans="1:19" x14ac:dyDescent="0.25">
      <c r="A2" s="615" t="s">
        <v>45</v>
      </c>
      <c r="B2" s="615"/>
      <c r="C2" s="615"/>
      <c r="D2" s="615"/>
      <c r="E2" s="615"/>
      <c r="F2" s="615"/>
      <c r="G2" s="615"/>
      <c r="H2" s="615"/>
      <c r="I2" s="615"/>
      <c r="J2" s="615"/>
      <c r="K2" s="615"/>
      <c r="L2" s="615"/>
      <c r="M2" s="615"/>
      <c r="N2" s="17"/>
      <c r="O2" s="19"/>
      <c r="P2" s="17"/>
      <c r="Q2" s="19"/>
      <c r="R2" s="17"/>
      <c r="S2" s="19" t="s">
        <v>232</v>
      </c>
    </row>
    <row r="3" spans="1:19" x14ac:dyDescent="0.25">
      <c r="A3" s="615" t="s">
        <v>316</v>
      </c>
      <c r="B3" s="615"/>
      <c r="C3" s="615"/>
      <c r="D3" s="615"/>
      <c r="E3" s="615"/>
      <c r="F3" s="615"/>
      <c r="G3" s="615"/>
      <c r="H3" s="615"/>
      <c r="I3" s="615"/>
      <c r="J3" s="615"/>
      <c r="K3" s="615"/>
      <c r="L3" s="615"/>
      <c r="M3" s="615"/>
      <c r="N3" s="17"/>
      <c r="O3" s="19"/>
      <c r="P3" s="17"/>
      <c r="Q3" s="19"/>
      <c r="R3" s="17"/>
      <c r="S3" s="19"/>
    </row>
    <row r="4" spans="1:19" x14ac:dyDescent="0.25">
      <c r="A4" s="615" t="s">
        <v>305</v>
      </c>
      <c r="B4" s="615"/>
      <c r="C4" s="615"/>
      <c r="D4" s="615"/>
      <c r="E4" s="615"/>
      <c r="F4" s="615"/>
      <c r="G4" s="615"/>
      <c r="H4" s="615"/>
      <c r="I4" s="615"/>
      <c r="J4" s="615"/>
      <c r="K4" s="615"/>
      <c r="L4" s="615"/>
      <c r="M4" s="615"/>
      <c r="N4" s="17"/>
      <c r="O4" s="19"/>
      <c r="P4" s="17"/>
      <c r="Q4" s="19"/>
      <c r="R4" s="17"/>
      <c r="S4" s="19"/>
    </row>
    <row r="5" spans="1:19" x14ac:dyDescent="0.25">
      <c r="A5" s="615" t="str">
        <f>'Estimating Schedule - GF'!A5:H5</f>
        <v>Year Ending September 30, 2020</v>
      </c>
      <c r="B5" s="615"/>
      <c r="C5" s="615"/>
      <c r="D5" s="615"/>
      <c r="E5" s="615"/>
      <c r="F5" s="615"/>
      <c r="G5" s="615"/>
      <c r="H5" s="615"/>
      <c r="I5" s="615"/>
      <c r="J5" s="615"/>
      <c r="K5" s="615"/>
      <c r="L5" s="615"/>
      <c r="M5" s="615"/>
      <c r="N5" s="17"/>
      <c r="O5" s="19"/>
      <c r="P5" s="17"/>
      <c r="Q5" s="19"/>
      <c r="R5" s="17"/>
      <c r="S5" s="19"/>
    </row>
    <row r="6" spans="1:19" x14ac:dyDescent="0.25">
      <c r="F6" s="21"/>
    </row>
    <row r="8" spans="1:19" x14ac:dyDescent="0.25">
      <c r="G8" s="21" t="s">
        <v>151</v>
      </c>
      <c r="Q8" s="24" t="s">
        <v>51</v>
      </c>
    </row>
    <row r="9" spans="1:19" x14ac:dyDescent="0.25">
      <c r="G9" s="23" t="s">
        <v>152</v>
      </c>
      <c r="H9" s="5"/>
      <c r="I9" s="23"/>
      <c r="J9" s="5"/>
      <c r="K9" s="23"/>
      <c r="O9" s="32" t="s">
        <v>105</v>
      </c>
      <c r="P9" s="5"/>
      <c r="Q9" s="23"/>
      <c r="R9" s="5"/>
      <c r="S9" s="23"/>
    </row>
    <row r="10" spans="1:19" x14ac:dyDescent="0.25">
      <c r="E10" s="6" t="s">
        <v>365</v>
      </c>
      <c r="G10" s="152" t="s">
        <v>330</v>
      </c>
      <c r="H10" s="70"/>
      <c r="I10" s="152" t="s">
        <v>326</v>
      </c>
      <c r="J10" s="70"/>
      <c r="K10" s="69">
        <v>2020</v>
      </c>
      <c r="L10" s="70"/>
      <c r="M10" s="26" t="s">
        <v>363</v>
      </c>
      <c r="N10" s="70"/>
      <c r="O10" s="69" t="e">
        <f>#REF!</f>
        <v>#REF!</v>
      </c>
      <c r="P10" s="70"/>
      <c r="Q10" s="69" t="e">
        <f>#REF!</f>
        <v>#REF!</v>
      </c>
      <c r="R10" s="70"/>
      <c r="S10" s="69" t="e">
        <f>#REF!</f>
        <v>#REF!</v>
      </c>
    </row>
    <row r="11" spans="1:19" x14ac:dyDescent="0.25">
      <c r="E11" s="190" t="s">
        <v>83</v>
      </c>
      <c r="G11" s="47" t="s">
        <v>81</v>
      </c>
      <c r="I11" s="47" t="s">
        <v>82</v>
      </c>
      <c r="K11" s="217" t="s">
        <v>82</v>
      </c>
      <c r="M11" s="190" t="s">
        <v>364</v>
      </c>
      <c r="O11" s="47" t="s">
        <v>81</v>
      </c>
      <c r="Q11" s="47" t="s">
        <v>82</v>
      </c>
      <c r="S11" s="47" t="s">
        <v>83</v>
      </c>
    </row>
    <row r="12" spans="1:19" x14ac:dyDescent="0.25">
      <c r="A12" s="2" t="s">
        <v>0</v>
      </c>
      <c r="G12" s="30"/>
      <c r="I12" s="30"/>
      <c r="K12" s="30"/>
      <c r="O12" s="30"/>
      <c r="Q12" s="30"/>
      <c r="S12" s="30"/>
    </row>
    <row r="13" spans="1:19" x14ac:dyDescent="0.25">
      <c r="A13" s="1" t="s">
        <v>153</v>
      </c>
      <c r="G13" s="30"/>
      <c r="I13" s="30"/>
      <c r="K13" s="30"/>
      <c r="O13" s="30"/>
      <c r="Q13" s="30"/>
      <c r="S13" s="30"/>
    </row>
    <row r="14" spans="1:19" ht="18" x14ac:dyDescent="0.4">
      <c r="A14" s="1" t="s">
        <v>154</v>
      </c>
      <c r="C14" s="36"/>
      <c r="D14" s="36"/>
      <c r="E14" s="249">
        <v>0</v>
      </c>
      <c r="G14" s="249">
        <v>0</v>
      </c>
      <c r="H14" s="249"/>
      <c r="I14" s="249">
        <v>0</v>
      </c>
      <c r="J14" s="249"/>
      <c r="K14" s="249">
        <f>G14+I14</f>
        <v>0</v>
      </c>
      <c r="M14" s="260">
        <v>0</v>
      </c>
      <c r="O14" s="44" t="e">
        <f>G14+#REF!</f>
        <v>#REF!</v>
      </c>
      <c r="Q14" s="44" t="e">
        <f>I14+#REF!</f>
        <v>#REF!</v>
      </c>
      <c r="S14" s="44" t="e">
        <f>K14+#REF!</f>
        <v>#REF!</v>
      </c>
    </row>
    <row r="15" spans="1:19" x14ac:dyDescent="0.25">
      <c r="C15" s="36"/>
      <c r="D15" s="36"/>
      <c r="E15" s="36"/>
      <c r="G15" s="30"/>
      <c r="I15" s="30"/>
      <c r="K15" s="30"/>
      <c r="O15" s="30"/>
      <c r="Q15" s="30"/>
      <c r="S15" s="30"/>
    </row>
    <row r="16" spans="1:19" x14ac:dyDescent="0.25">
      <c r="A16" s="2" t="s">
        <v>7</v>
      </c>
      <c r="C16" s="36"/>
      <c r="D16" s="36"/>
      <c r="E16" s="36"/>
      <c r="G16" s="30"/>
      <c r="I16" s="30"/>
      <c r="K16" s="30"/>
      <c r="O16" s="30"/>
      <c r="Q16" s="30"/>
      <c r="S16" s="30"/>
    </row>
    <row r="17" spans="1:23" x14ac:dyDescent="0.25">
      <c r="A17" s="1" t="s">
        <v>155</v>
      </c>
      <c r="C17" s="36"/>
      <c r="D17" s="36"/>
      <c r="E17" s="36"/>
      <c r="G17" s="30"/>
      <c r="I17" s="30"/>
      <c r="K17" s="30"/>
      <c r="O17" s="30"/>
      <c r="Q17" s="30"/>
      <c r="S17" s="30"/>
    </row>
    <row r="18" spans="1:23" x14ac:dyDescent="0.25">
      <c r="A18" s="1" t="s">
        <v>156</v>
      </c>
      <c r="C18" s="36"/>
      <c r="D18" s="36"/>
      <c r="E18" s="30">
        <v>0</v>
      </c>
      <c r="G18" s="350">
        <v>0</v>
      </c>
      <c r="I18" s="173">
        <v>0</v>
      </c>
      <c r="K18" s="30">
        <f>G18+I18</f>
        <v>0</v>
      </c>
      <c r="M18" s="191">
        <v>0</v>
      </c>
      <c r="O18" s="30" t="e">
        <f>G18+#REF!</f>
        <v>#REF!</v>
      </c>
      <c r="Q18" s="30" t="e">
        <f>I18+#REF!</f>
        <v>#REF!</v>
      </c>
      <c r="S18" s="30" t="e">
        <f>K18+#REF!</f>
        <v>#REF!</v>
      </c>
    </row>
    <row r="19" spans="1:23" x14ac:dyDescent="0.25">
      <c r="A19" s="1" t="s">
        <v>157</v>
      </c>
      <c r="C19" s="36"/>
      <c r="D19" s="36"/>
      <c r="E19" s="30">
        <v>0</v>
      </c>
      <c r="G19" s="350">
        <v>0</v>
      </c>
      <c r="I19" s="173">
        <v>0</v>
      </c>
      <c r="K19" s="30">
        <f>G19+I19</f>
        <v>0</v>
      </c>
      <c r="M19" s="191">
        <v>0</v>
      </c>
      <c r="O19" s="30" t="e">
        <f>G19+#REF!</f>
        <v>#REF!</v>
      </c>
      <c r="Q19" s="30" t="e">
        <f>I19+#REF!</f>
        <v>#REF!</v>
      </c>
      <c r="S19" s="30" t="e">
        <f>K19+#REF!</f>
        <v>#REF!</v>
      </c>
    </row>
    <row r="20" spans="1:23" ht="18" x14ac:dyDescent="0.4">
      <c r="A20" s="1" t="s">
        <v>158</v>
      </c>
      <c r="C20" s="36"/>
      <c r="D20" s="36"/>
      <c r="E20" s="73">
        <v>0</v>
      </c>
      <c r="G20" s="351">
        <v>0</v>
      </c>
      <c r="H20" s="174"/>
      <c r="I20" s="178">
        <v>0</v>
      </c>
      <c r="J20" s="174"/>
      <c r="K20" s="221">
        <f>G20+I20</f>
        <v>0</v>
      </c>
      <c r="M20" s="260">
        <v>0</v>
      </c>
      <c r="O20" s="44" t="e">
        <f>G20+#REF!</f>
        <v>#REF!</v>
      </c>
      <c r="Q20" s="44" t="e">
        <f>I20+#REF!</f>
        <v>#REF!</v>
      </c>
      <c r="S20" s="44" t="e">
        <f>K20+#REF!</f>
        <v>#REF!</v>
      </c>
      <c r="U20" s="44"/>
    </row>
    <row r="21" spans="1:23" ht="18" x14ac:dyDescent="0.4">
      <c r="A21" s="1" t="s">
        <v>159</v>
      </c>
      <c r="C21" s="36"/>
      <c r="D21" s="36"/>
      <c r="E21" s="73">
        <f>SUM(E18:E20)</f>
        <v>0</v>
      </c>
      <c r="G21" s="44">
        <f>SUM(G17:G20)</f>
        <v>0</v>
      </c>
      <c r="I21" s="178">
        <f>K21-G21</f>
        <v>0</v>
      </c>
      <c r="K21" s="44">
        <f>SUM(K18:K20)</f>
        <v>0</v>
      </c>
      <c r="M21" s="260">
        <v>0</v>
      </c>
      <c r="O21" s="44" t="e">
        <f>SUM(O17:O20)</f>
        <v>#REF!</v>
      </c>
      <c r="Q21" s="44" t="e">
        <f>SUM(Q17:Q20)</f>
        <v>#REF!</v>
      </c>
      <c r="S21" s="44" t="e">
        <f>SUM(S17:S20)</f>
        <v>#REF!</v>
      </c>
    </row>
    <row r="22" spans="1:23" x14ac:dyDescent="0.25">
      <c r="C22" s="36"/>
      <c r="D22" s="36"/>
      <c r="E22" s="30"/>
      <c r="G22" s="30"/>
      <c r="I22" s="30"/>
      <c r="K22" s="30"/>
      <c r="O22" s="30"/>
      <c r="Q22" s="30"/>
      <c r="S22" s="30"/>
    </row>
    <row r="23" spans="1:23" x14ac:dyDescent="0.25">
      <c r="A23" s="1" t="s">
        <v>428</v>
      </c>
      <c r="C23" s="36"/>
      <c r="D23" s="36"/>
      <c r="E23" s="30"/>
      <c r="G23" s="30"/>
      <c r="I23" s="30"/>
      <c r="K23" s="30"/>
      <c r="O23" s="30"/>
      <c r="Q23" s="30"/>
      <c r="S23" s="30"/>
    </row>
    <row r="24" spans="1:23" ht="18" x14ac:dyDescent="0.4">
      <c r="A24" s="1" t="s">
        <v>273</v>
      </c>
      <c r="C24" s="36"/>
      <c r="D24" s="36"/>
      <c r="E24" s="35">
        <f>E14-E21</f>
        <v>0</v>
      </c>
      <c r="G24" s="35">
        <f>G14-G21</f>
        <v>0</v>
      </c>
      <c r="I24" s="265">
        <f>I14-I21</f>
        <v>0</v>
      </c>
      <c r="K24" s="35">
        <f>K14-K21</f>
        <v>0</v>
      </c>
      <c r="L24" s="135"/>
      <c r="M24" s="191">
        <v>0</v>
      </c>
      <c r="N24" s="135"/>
      <c r="O24" s="44" t="e">
        <f>#REF!-#REF!</f>
        <v>#REF!</v>
      </c>
      <c r="P24" s="135"/>
      <c r="Q24" s="44" t="e">
        <f>#REF!-#REF!</f>
        <v>#REF!</v>
      </c>
      <c r="R24" s="135"/>
      <c r="S24" s="44" t="e">
        <f>#REF!-#REF!</f>
        <v>#REF!</v>
      </c>
    </row>
    <row r="25" spans="1:23" x14ac:dyDescent="0.25">
      <c r="C25" s="36"/>
      <c r="D25" s="36"/>
      <c r="E25" s="30"/>
      <c r="G25" s="30"/>
      <c r="I25" s="30"/>
      <c r="K25" s="30"/>
      <c r="O25" s="30"/>
      <c r="Q25" s="30"/>
      <c r="S25" s="30"/>
    </row>
    <row r="26" spans="1:23" x14ac:dyDescent="0.25">
      <c r="A26" s="2" t="s">
        <v>439</v>
      </c>
      <c r="C26" s="36"/>
      <c r="D26" s="36"/>
      <c r="E26" s="30"/>
    </row>
    <row r="27" spans="1:23" ht="18" x14ac:dyDescent="0.4">
      <c r="A27" s="1" t="s">
        <v>212</v>
      </c>
      <c r="C27" s="36"/>
      <c r="D27" s="36"/>
      <c r="E27" s="73">
        <v>0</v>
      </c>
      <c r="F27" s="135"/>
      <c r="G27" s="176">
        <v>0</v>
      </c>
      <c r="H27" s="135"/>
      <c r="I27" s="176">
        <v>0</v>
      </c>
      <c r="J27" s="135"/>
      <c r="K27" s="73">
        <f>G27+I27</f>
        <v>0</v>
      </c>
      <c r="M27" s="260">
        <v>0</v>
      </c>
      <c r="N27" s="21"/>
      <c r="P27" s="21"/>
      <c r="R27" s="21"/>
      <c r="T27" s="21"/>
      <c r="U27" s="21"/>
      <c r="V27" s="21"/>
      <c r="W27" s="21"/>
    </row>
    <row r="28" spans="1:23" x14ac:dyDescent="0.25">
      <c r="C28" s="36"/>
      <c r="D28" s="36"/>
      <c r="E28" s="36"/>
    </row>
    <row r="29" spans="1:23" x14ac:dyDescent="0.25">
      <c r="A29" s="1" t="s">
        <v>160</v>
      </c>
      <c r="C29" s="36"/>
      <c r="D29" s="36"/>
      <c r="E29" s="36"/>
      <c r="N29" s="1" t="s">
        <v>19</v>
      </c>
    </row>
    <row r="30" spans="1:23" ht="18" x14ac:dyDescent="0.4">
      <c r="A30" s="1" t="s">
        <v>18</v>
      </c>
      <c r="C30" s="36"/>
      <c r="D30" s="36"/>
      <c r="E30" s="133">
        <f>E24+E27</f>
        <v>0</v>
      </c>
      <c r="G30" s="133">
        <f>G24+G27</f>
        <v>0</v>
      </c>
      <c r="H30" s="133"/>
      <c r="I30" s="133">
        <f>I24+I27</f>
        <v>0</v>
      </c>
      <c r="J30" s="133"/>
      <c r="K30" s="133">
        <f>K24+K27</f>
        <v>0</v>
      </c>
      <c r="M30" s="600">
        <v>0</v>
      </c>
      <c r="O30" s="21" t="e">
        <f>O24+#REF!</f>
        <v>#REF!</v>
      </c>
      <c r="Q30" s="21" t="e">
        <f>Q24+#REF!</f>
        <v>#REF!</v>
      </c>
      <c r="S30" s="21" t="e">
        <f>S24+#REF!</f>
        <v>#REF!</v>
      </c>
    </row>
  </sheetData>
  <mergeCells count="4">
    <mergeCell ref="A5:M5"/>
    <mergeCell ref="A4:M4"/>
    <mergeCell ref="A3:M3"/>
    <mergeCell ref="A2:M2"/>
  </mergeCells>
  <phoneticPr fontId="0" type="noConversion"/>
  <pageMargins left="0.5" right="0.1" top="0.25" bottom="0.25" header="0.25" footer="0"/>
  <pageSetup scale="93" orientation="portrait" r:id="rId1"/>
  <headerFooter alignWithMargins="0">
    <oddFooter>&amp;L&amp;"Times New Roman,Regular"&amp;9&amp;D &amp;C&amp;"Times New Roman,Regular"&amp;9&amp;Z&amp;F&amp;R&amp;"Times New Roman,Regular"&amp;9&amp;A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J24"/>
  <sheetViews>
    <sheetView showGridLines="0" view="pageBreakPreview" topLeftCell="B1" zoomScaleNormal="75" workbookViewId="0">
      <selection activeCell="O21" sqref="O21"/>
    </sheetView>
  </sheetViews>
  <sheetFormatPr defaultColWidth="9.77734375" defaultRowHeight="15.75" x14ac:dyDescent="0.25"/>
  <cols>
    <col min="1" max="1" width="7.5546875" style="1" hidden="1" customWidth="1"/>
    <col min="2" max="2" width="28.33203125" style="1" customWidth="1"/>
    <col min="3" max="3" width="7.77734375" style="1" customWidth="1"/>
    <col min="4" max="4" width="8.33203125" style="1" customWidth="1"/>
    <col min="5" max="5" width="1.21875" style="1" customWidth="1"/>
    <col min="6" max="6" width="9.77734375" style="1"/>
    <col min="7" max="7" width="1.77734375" style="1" customWidth="1"/>
    <col min="8" max="8" width="10.44140625" style="1" bestFit="1" customWidth="1"/>
    <col min="9" max="9" width="1.77734375" style="1" customWidth="1"/>
    <col min="10" max="10" width="10.33203125" style="1" customWidth="1"/>
    <col min="11" max="11" width="8.77734375" style="1" customWidth="1"/>
    <col min="12" max="12" width="9.77734375" style="1"/>
    <col min="13" max="13" width="8.77734375" style="1" customWidth="1"/>
    <col min="14" max="14" width="9.77734375" style="1"/>
    <col min="15" max="15" width="10.77734375" style="1" customWidth="1"/>
    <col min="16" max="16384" width="9.77734375" style="1"/>
  </cols>
  <sheetData>
    <row r="1" spans="1:10" x14ac:dyDescent="0.25">
      <c r="A1" s="18" t="s">
        <v>45</v>
      </c>
      <c r="B1" s="18" t="s">
        <v>344</v>
      </c>
      <c r="C1" s="17"/>
      <c r="D1" s="17"/>
      <c r="E1" s="17"/>
      <c r="F1" s="17"/>
      <c r="G1" s="17"/>
      <c r="H1" s="49"/>
      <c r="I1" s="17"/>
      <c r="J1" s="49" t="s">
        <v>308</v>
      </c>
    </row>
    <row r="2" spans="1:10" x14ac:dyDescent="0.25">
      <c r="A2" s="18" t="s">
        <v>221</v>
      </c>
      <c r="B2" s="18" t="s">
        <v>223</v>
      </c>
      <c r="C2" s="17"/>
      <c r="D2" s="17"/>
      <c r="E2" s="18"/>
      <c r="F2" s="18"/>
      <c r="G2" s="17"/>
      <c r="H2" s="49"/>
      <c r="I2" s="17"/>
      <c r="J2" s="49"/>
    </row>
    <row r="3" spans="1:10" x14ac:dyDescent="0.25">
      <c r="A3" s="18"/>
      <c r="B3" s="18" t="s">
        <v>305</v>
      </c>
      <c r="C3" s="17"/>
      <c r="D3" s="17"/>
      <c r="E3" s="18"/>
      <c r="F3" s="18"/>
      <c r="G3" s="17"/>
      <c r="H3" s="49"/>
      <c r="I3" s="17"/>
      <c r="J3" s="49"/>
    </row>
    <row r="4" spans="1:10" x14ac:dyDescent="0.25">
      <c r="A4" s="45" t="str">
        <f>'General Fund'!A4</f>
        <v>Year Ending September 30, 2021</v>
      </c>
      <c r="B4" s="615" t="s">
        <v>505</v>
      </c>
      <c r="C4" s="615"/>
      <c r="D4" s="615"/>
      <c r="E4" s="615"/>
      <c r="F4" s="615"/>
      <c r="G4" s="615"/>
      <c r="H4" s="615"/>
      <c r="I4" s="615"/>
      <c r="J4" s="615"/>
    </row>
    <row r="5" spans="1:10" x14ac:dyDescent="0.25">
      <c r="D5" s="2"/>
      <c r="E5" s="2"/>
      <c r="G5" s="4"/>
    </row>
    <row r="7" spans="1:10" x14ac:dyDescent="0.25">
      <c r="F7" s="4"/>
      <c r="H7" s="4"/>
      <c r="J7" s="4"/>
    </row>
    <row r="8" spans="1:10" x14ac:dyDescent="0.25">
      <c r="F8" s="59" t="s">
        <v>19</v>
      </c>
      <c r="G8" s="36"/>
      <c r="H8" s="59"/>
      <c r="I8" s="36"/>
      <c r="J8" s="59"/>
    </row>
    <row r="9" spans="1:10" x14ac:dyDescent="0.25">
      <c r="F9" s="152" t="s">
        <v>330</v>
      </c>
      <c r="G9" s="70"/>
      <c r="H9" s="152" t="s">
        <v>326</v>
      </c>
      <c r="I9" s="70"/>
      <c r="J9" s="71">
        <v>2020</v>
      </c>
    </row>
    <row r="10" spans="1:10" x14ac:dyDescent="0.25">
      <c r="F10" s="50" t="s">
        <v>81</v>
      </c>
      <c r="H10" s="50" t="s">
        <v>82</v>
      </c>
      <c r="J10" s="50" t="s">
        <v>82</v>
      </c>
    </row>
    <row r="12" spans="1:10" x14ac:dyDescent="0.25">
      <c r="B12" s="2" t="s">
        <v>0</v>
      </c>
    </row>
    <row r="13" spans="1:10" x14ac:dyDescent="0.25">
      <c r="B13" s="1" t="s">
        <v>570</v>
      </c>
      <c r="F13" s="65">
        <v>884251</v>
      </c>
      <c r="G13" s="51"/>
      <c r="H13" s="65">
        <v>0</v>
      </c>
      <c r="I13" s="51"/>
      <c r="J13" s="65">
        <f>F13+H13</f>
        <v>884251</v>
      </c>
    </row>
    <row r="14" spans="1:10" x14ac:dyDescent="0.25">
      <c r="F14" s="51"/>
      <c r="G14" s="48"/>
      <c r="H14" s="51"/>
      <c r="I14" s="48"/>
      <c r="J14" s="51"/>
    </row>
    <row r="15" spans="1:10" s="368" customFormat="1" x14ac:dyDescent="0.25">
      <c r="B15" s="2" t="s">
        <v>7</v>
      </c>
      <c r="F15" s="51"/>
      <c r="G15" s="318"/>
      <c r="H15" s="51"/>
      <c r="I15" s="318"/>
      <c r="J15" s="51"/>
    </row>
    <row r="16" spans="1:10" ht="18" x14ac:dyDescent="0.4">
      <c r="B16" s="368" t="s">
        <v>575</v>
      </c>
      <c r="F16" s="52">
        <v>884251</v>
      </c>
      <c r="G16" s="399"/>
      <c r="H16" s="52">
        <v>0</v>
      </c>
      <c r="I16" s="399"/>
      <c r="J16" s="52">
        <f>F16+H16</f>
        <v>884251</v>
      </c>
    </row>
    <row r="17" spans="2:10" x14ac:dyDescent="0.25">
      <c r="F17" s="48"/>
      <c r="G17" s="48"/>
      <c r="H17" s="48"/>
      <c r="I17" s="48"/>
      <c r="J17" s="48"/>
    </row>
    <row r="18" spans="2:10" x14ac:dyDescent="0.25">
      <c r="B18" s="1" t="s">
        <v>429</v>
      </c>
      <c r="F18" s="55">
        <f>F13-F16</f>
        <v>0</v>
      </c>
      <c r="G18" s="609"/>
      <c r="H18" s="55">
        <f>H13-H16</f>
        <v>0</v>
      </c>
      <c r="I18" s="55" t="s">
        <v>19</v>
      </c>
      <c r="J18" s="55">
        <f>J13-J16</f>
        <v>0</v>
      </c>
    </row>
    <row r="19" spans="2:10" x14ac:dyDescent="0.25">
      <c r="F19" s="51"/>
      <c r="G19" s="48"/>
      <c r="H19" s="51"/>
      <c r="I19" s="48"/>
      <c r="J19" s="51"/>
    </row>
    <row r="20" spans="2:10" s="368" customFormat="1" x14ac:dyDescent="0.25">
      <c r="F20" s="318"/>
      <c r="G20" s="318"/>
      <c r="H20" s="318"/>
      <c r="I20" s="318"/>
      <c r="J20" s="318"/>
    </row>
    <row r="21" spans="2:10" ht="18" x14ac:dyDescent="0.4">
      <c r="B21" s="2" t="s">
        <v>150</v>
      </c>
      <c r="F21" s="53">
        <v>0</v>
      </c>
      <c r="G21" s="54"/>
      <c r="H21" s="53">
        <f>F23</f>
        <v>0</v>
      </c>
      <c r="I21" s="54"/>
      <c r="J21" s="53">
        <f>H23</f>
        <v>0</v>
      </c>
    </row>
    <row r="22" spans="2:10" x14ac:dyDescent="0.25">
      <c r="F22" s="57"/>
      <c r="G22" s="8"/>
      <c r="H22" s="57"/>
      <c r="I22" s="8"/>
      <c r="J22" s="57"/>
    </row>
    <row r="23" spans="2:10" ht="18" x14ac:dyDescent="0.4">
      <c r="B23" s="2" t="s">
        <v>104</v>
      </c>
      <c r="F23" s="64">
        <f>SUM(F20:F21)</f>
        <v>0</v>
      </c>
      <c r="G23" s="55"/>
      <c r="H23" s="64">
        <f>SUM(H20:H21)</f>
        <v>0</v>
      </c>
      <c r="I23" s="55"/>
      <c r="J23" s="64">
        <f>SUM(J20:J21)</f>
        <v>0</v>
      </c>
    </row>
    <row r="24" spans="2:10" x14ac:dyDescent="0.25">
      <c r="B24" s="1" t="s">
        <v>19</v>
      </c>
      <c r="F24" s="51"/>
      <c r="G24" s="48"/>
      <c r="H24" s="51"/>
      <c r="I24" s="48"/>
      <c r="J24" s="51"/>
    </row>
  </sheetData>
  <mergeCells count="1">
    <mergeCell ref="B4:J4"/>
  </mergeCells>
  <phoneticPr fontId="0" type="noConversion"/>
  <pageMargins left="0.5" right="0.1" top="0.5" bottom="0.25" header="0.25" footer="0"/>
  <pageSetup scale="80" orientation="portrait" r:id="rId1"/>
  <headerFooter alignWithMargins="0">
    <oddFooter>&amp;L&amp;"Times New Roman,Regular"&amp;9&amp;D &amp;C&amp;"Times New Roman,Regular"&amp;9&amp;Z&amp;F&amp;R&amp;"Times New Roman,Regular"&amp;9&amp;A</oddFooter>
  </headerFooter>
  <rowBreaks count="1" manualBreakCount="1">
    <brk id="28"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AK61"/>
  <sheetViews>
    <sheetView view="pageBreakPreview" topLeftCell="A28" zoomScaleNormal="100" zoomScaleSheetLayoutView="100" workbookViewId="0">
      <pane xSplit="2" topLeftCell="J1" activePane="topRight" state="frozen"/>
      <selection activeCell="B112" sqref="B112"/>
      <selection pane="topRight" activeCell="L17" sqref="L17"/>
    </sheetView>
  </sheetViews>
  <sheetFormatPr defaultColWidth="9.77734375" defaultRowHeight="15.75" x14ac:dyDescent="0.25"/>
  <cols>
    <col min="1" max="1" width="12.88671875" style="1" customWidth="1"/>
    <col min="2" max="2" width="11.77734375" style="1" customWidth="1"/>
    <col min="3" max="3" width="0.77734375" style="1" customWidth="1"/>
    <col min="4" max="4" width="8.77734375" style="21" customWidth="1"/>
    <col min="5" max="5" width="0.88671875" style="1" customWidth="1"/>
    <col min="6" max="6" width="8.77734375" style="21" customWidth="1"/>
    <col min="7" max="7" width="0.88671875" style="1" customWidth="1"/>
    <col min="8" max="8" width="8.77734375" style="21" customWidth="1"/>
    <col min="9" max="9" width="1" style="1" customWidth="1"/>
    <col min="10" max="10" width="9.44140625" style="21" customWidth="1"/>
    <col min="11" max="11" width="0.88671875" style="1" customWidth="1"/>
    <col min="12" max="12" width="9.5546875" style="21" bestFit="1" customWidth="1"/>
    <col min="13" max="13" width="0.88671875" style="1" customWidth="1"/>
    <col min="14" max="14" width="9.44140625" style="21" customWidth="1"/>
    <col min="15" max="15" width="0.88671875" style="1" customWidth="1"/>
    <col min="16" max="16" width="8.77734375" style="21" customWidth="1"/>
    <col min="17" max="17" width="0.88671875" style="1" customWidth="1"/>
    <col min="18" max="18" width="8.77734375" style="21" customWidth="1"/>
    <col min="19" max="19" width="0.88671875" style="1" customWidth="1"/>
    <col min="20" max="20" width="9.44140625" style="21" customWidth="1"/>
    <col min="21" max="21" width="0.33203125" style="1" customWidth="1"/>
    <col min="22" max="22" width="9.6640625" style="21" customWidth="1"/>
    <col min="23" max="23" width="0.6640625" style="1" customWidth="1"/>
    <col min="24" max="24" width="8.77734375" style="21" customWidth="1"/>
    <col min="25" max="25" width="0.33203125" style="1" customWidth="1"/>
    <col min="26" max="26" width="9.5546875" style="21" bestFit="1" customWidth="1"/>
    <col min="27" max="27" width="0.5546875" style="1" customWidth="1"/>
    <col min="28" max="28" width="10" style="75" customWidth="1"/>
    <col min="29" max="29" width="11.44140625" style="21" customWidth="1"/>
    <col min="30" max="30" width="0.44140625" style="1" customWidth="1"/>
    <col min="31" max="31" width="10.33203125" style="21" bestFit="1" customWidth="1"/>
    <col min="32" max="32" width="1.21875" style="1" customWidth="1"/>
    <col min="33" max="33" width="10.77734375" style="21" bestFit="1" customWidth="1"/>
    <col min="34" max="34" width="0.44140625" style="1" customWidth="1"/>
    <col min="35" max="35" width="8" style="1" bestFit="1" customWidth="1"/>
    <col min="36" max="16384" width="9.77734375" style="1"/>
  </cols>
  <sheetData>
    <row r="1" spans="1:35" x14ac:dyDescent="0.25">
      <c r="A1" s="157"/>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406"/>
      <c r="AC1" s="157"/>
      <c r="AD1" s="157"/>
      <c r="AE1" s="157"/>
      <c r="AF1" s="157"/>
      <c r="AI1" s="6" t="s">
        <v>309</v>
      </c>
    </row>
    <row r="2" spans="1:35" x14ac:dyDescent="0.25">
      <c r="A2" s="615" t="s">
        <v>225</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5"/>
      <c r="AE2" s="615"/>
      <c r="AF2" s="615"/>
      <c r="AG2" s="615"/>
      <c r="AH2" s="615"/>
      <c r="AI2" s="615"/>
    </row>
    <row r="3" spans="1:35" x14ac:dyDescent="0.25">
      <c r="A3" s="615" t="s">
        <v>305</v>
      </c>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c r="AF3" s="615"/>
      <c r="AG3" s="615"/>
      <c r="AH3" s="615"/>
      <c r="AI3" s="615"/>
    </row>
    <row r="4" spans="1:35" x14ac:dyDescent="0.25">
      <c r="A4" s="615" t="str">
        <f>'Estimating Schedule - GF'!A5:H5</f>
        <v>Year Ending September 30, 2020</v>
      </c>
      <c r="B4" s="615"/>
      <c r="C4" s="615"/>
      <c r="D4" s="615"/>
      <c r="E4" s="615"/>
      <c r="F4" s="615"/>
      <c r="G4" s="615"/>
      <c r="H4" s="615"/>
      <c r="I4" s="615"/>
      <c r="J4" s="615"/>
      <c r="K4" s="615"/>
      <c r="L4" s="615"/>
      <c r="M4" s="615"/>
      <c r="N4" s="615"/>
      <c r="O4" s="615"/>
      <c r="P4" s="615"/>
      <c r="Q4" s="615"/>
      <c r="R4" s="615"/>
      <c r="S4" s="615"/>
      <c r="T4" s="615"/>
      <c r="U4" s="615"/>
      <c r="V4" s="615"/>
      <c r="W4" s="615"/>
      <c r="X4" s="615"/>
      <c r="Y4" s="615"/>
      <c r="Z4" s="615"/>
      <c r="AA4" s="615"/>
      <c r="AB4" s="615"/>
      <c r="AC4" s="615"/>
      <c r="AD4" s="615"/>
      <c r="AE4" s="615"/>
      <c r="AF4" s="615"/>
      <c r="AG4" s="615"/>
      <c r="AH4" s="615"/>
      <c r="AI4" s="615"/>
    </row>
    <row r="5" spans="1:35" x14ac:dyDescent="0.25">
      <c r="B5" s="2"/>
      <c r="J5" s="30"/>
      <c r="L5" s="30"/>
    </row>
    <row r="6" spans="1:35" x14ac:dyDescent="0.25">
      <c r="B6" s="157"/>
      <c r="C6" s="6"/>
      <c r="D6" s="24"/>
      <c r="E6" s="6"/>
      <c r="F6" s="24"/>
      <c r="G6" s="6"/>
      <c r="H6" s="24"/>
      <c r="I6" s="6"/>
      <c r="J6" s="158"/>
      <c r="K6" s="6"/>
      <c r="L6" s="158"/>
      <c r="M6" s="6"/>
      <c r="N6" s="24"/>
      <c r="O6" s="6"/>
      <c r="P6" s="24"/>
      <c r="Q6" s="6"/>
      <c r="R6" s="24"/>
      <c r="S6" s="6"/>
      <c r="T6" s="24"/>
      <c r="U6" s="6"/>
      <c r="V6" s="24"/>
      <c r="W6" s="6"/>
      <c r="X6" s="24"/>
      <c r="Y6" s="6"/>
      <c r="Z6" s="24"/>
      <c r="AA6" s="6"/>
      <c r="AB6" s="123"/>
      <c r="AC6" s="24"/>
      <c r="AD6" s="6"/>
      <c r="AE6" s="24" t="s">
        <v>285</v>
      </c>
      <c r="AF6" s="6"/>
      <c r="AG6" s="24"/>
    </row>
    <row r="7" spans="1:35" x14ac:dyDescent="0.25">
      <c r="F7" s="21" t="s">
        <v>19</v>
      </c>
      <c r="I7" s="58"/>
      <c r="J7" s="30"/>
      <c r="L7" s="30"/>
      <c r="O7" s="58"/>
      <c r="U7" s="58"/>
      <c r="AA7" s="58"/>
      <c r="AB7" s="83"/>
    </row>
    <row r="8" spans="1:35" ht="18.75" x14ac:dyDescent="0.3">
      <c r="A8" s="1" t="s">
        <v>19</v>
      </c>
      <c r="D8" s="628" t="s">
        <v>370</v>
      </c>
      <c r="E8" s="628"/>
      <c r="F8" s="628"/>
      <c r="G8" s="628"/>
      <c r="H8" s="629"/>
      <c r="I8" s="58"/>
      <c r="J8" s="621" t="s">
        <v>367</v>
      </c>
      <c r="K8" s="621"/>
      <c r="L8" s="621"/>
      <c r="M8" s="621"/>
      <c r="N8" s="627"/>
      <c r="O8" s="58"/>
      <c r="P8" s="628" t="s">
        <v>368</v>
      </c>
      <c r="Q8" s="628"/>
      <c r="R8" s="628"/>
      <c r="S8" s="628"/>
      <c r="T8" s="629"/>
      <c r="U8" s="58"/>
      <c r="V8" s="630" t="s">
        <v>369</v>
      </c>
      <c r="W8" s="630"/>
      <c r="X8" s="630"/>
      <c r="Y8" s="630"/>
      <c r="Z8" s="631"/>
      <c r="AA8" s="58"/>
      <c r="AB8" s="632" t="s">
        <v>88</v>
      </c>
      <c r="AC8" s="632"/>
      <c r="AD8" s="632"/>
      <c r="AE8" s="632"/>
      <c r="AF8" s="632"/>
      <c r="AG8" s="632"/>
      <c r="AH8" s="632"/>
      <c r="AI8" s="632"/>
    </row>
    <row r="9" spans="1:35" x14ac:dyDescent="0.25">
      <c r="C9" s="75"/>
      <c r="D9" s="76"/>
      <c r="E9" s="75"/>
      <c r="F9" s="76"/>
      <c r="G9" s="75"/>
      <c r="H9" s="76"/>
      <c r="I9" s="77"/>
      <c r="J9" s="66"/>
      <c r="K9" s="75"/>
      <c r="L9" s="78" t="s">
        <v>19</v>
      </c>
      <c r="M9" s="75"/>
      <c r="N9" s="76"/>
      <c r="O9" s="77"/>
      <c r="P9" s="76"/>
      <c r="Q9" s="75"/>
      <c r="R9" s="78" t="s">
        <v>19</v>
      </c>
      <c r="S9" s="75"/>
      <c r="T9" s="76"/>
      <c r="U9" s="77"/>
      <c r="V9" s="76"/>
      <c r="W9" s="75"/>
      <c r="X9" s="78" t="s">
        <v>19</v>
      </c>
      <c r="Y9" s="75"/>
      <c r="Z9" s="76"/>
      <c r="AA9" s="77"/>
      <c r="AB9" s="83"/>
      <c r="AC9" s="76"/>
      <c r="AD9" s="75"/>
      <c r="AE9" s="78" t="s">
        <v>19</v>
      </c>
      <c r="AF9" s="75"/>
      <c r="AG9" s="76"/>
    </row>
    <row r="10" spans="1:35" x14ac:dyDescent="0.25">
      <c r="C10" s="75"/>
      <c r="D10" s="152" t="s">
        <v>330</v>
      </c>
      <c r="E10" s="70"/>
      <c r="F10" s="152" t="s">
        <v>326</v>
      </c>
      <c r="G10" s="80"/>
      <c r="H10" s="79">
        <v>2019</v>
      </c>
      <c r="I10" s="136"/>
      <c r="J10" s="152" t="s">
        <v>330</v>
      </c>
      <c r="K10" s="70"/>
      <c r="L10" s="152" t="s">
        <v>326</v>
      </c>
      <c r="M10" s="80"/>
      <c r="N10" s="79">
        <v>2020</v>
      </c>
      <c r="O10" s="136"/>
      <c r="P10" s="152" t="s">
        <v>330</v>
      </c>
      <c r="Q10" s="70"/>
      <c r="R10" s="152" t="s">
        <v>326</v>
      </c>
      <c r="S10" s="80"/>
      <c r="T10" s="79">
        <f>N10</f>
        <v>2020</v>
      </c>
      <c r="U10" s="136"/>
      <c r="V10" s="152" t="s">
        <v>330</v>
      </c>
      <c r="W10" s="70"/>
      <c r="X10" s="152" t="s">
        <v>326</v>
      </c>
      <c r="Y10" s="80"/>
      <c r="Z10" s="79">
        <f>T10</f>
        <v>2020</v>
      </c>
      <c r="AA10" s="136"/>
      <c r="AB10" s="218" t="s">
        <v>365</v>
      </c>
      <c r="AC10" s="152" t="s">
        <v>330</v>
      </c>
      <c r="AD10" s="70"/>
      <c r="AE10" s="152" t="s">
        <v>326</v>
      </c>
      <c r="AF10" s="80"/>
      <c r="AG10" s="79">
        <f>Z10</f>
        <v>2020</v>
      </c>
      <c r="AI10" s="6" t="s">
        <v>363</v>
      </c>
    </row>
    <row r="11" spans="1:35" ht="18" x14ac:dyDescent="0.4">
      <c r="C11" s="75"/>
      <c r="D11" s="81" t="s">
        <v>81</v>
      </c>
      <c r="E11" s="75"/>
      <c r="F11" s="81" t="s">
        <v>82</v>
      </c>
      <c r="G11" s="75"/>
      <c r="H11" s="81" t="s">
        <v>82</v>
      </c>
      <c r="I11" s="82"/>
      <c r="J11" s="81" t="s">
        <v>81</v>
      </c>
      <c r="K11" s="83"/>
      <c r="L11" s="81" t="s">
        <v>82</v>
      </c>
      <c r="M11" s="83"/>
      <c r="N11" s="81" t="s">
        <v>82</v>
      </c>
      <c r="O11" s="82"/>
      <c r="P11" s="81" t="s">
        <v>81</v>
      </c>
      <c r="Q11" s="83"/>
      <c r="R11" s="81" t="s">
        <v>82</v>
      </c>
      <c r="S11" s="83"/>
      <c r="T11" s="81" t="s">
        <v>82</v>
      </c>
      <c r="U11" s="82"/>
      <c r="V11" s="81" t="s">
        <v>81</v>
      </c>
      <c r="W11" s="83"/>
      <c r="X11" s="81" t="s">
        <v>82</v>
      </c>
      <c r="Y11" s="83"/>
      <c r="Z11" s="154" t="s">
        <v>82</v>
      </c>
      <c r="AA11" s="83"/>
      <c r="AB11" s="219" t="s">
        <v>83</v>
      </c>
      <c r="AC11" s="81" t="s">
        <v>81</v>
      </c>
      <c r="AD11" s="83"/>
      <c r="AE11" s="81" t="s">
        <v>82</v>
      </c>
      <c r="AF11" s="83"/>
      <c r="AG11" s="81" t="s">
        <v>82</v>
      </c>
      <c r="AI11" s="6" t="s">
        <v>364</v>
      </c>
    </row>
    <row r="12" spans="1:35" x14ac:dyDescent="0.25">
      <c r="C12" s="75"/>
      <c r="D12" s="76"/>
      <c r="E12" s="75"/>
      <c r="F12" s="76"/>
      <c r="G12" s="75"/>
      <c r="H12" s="76"/>
      <c r="I12" s="77"/>
      <c r="J12" s="66"/>
      <c r="K12" s="75"/>
      <c r="L12" s="66"/>
      <c r="M12" s="75"/>
      <c r="N12" s="76"/>
      <c r="O12" s="77"/>
      <c r="P12" s="76"/>
      <c r="Q12" s="75"/>
      <c r="R12" s="76"/>
      <c r="S12" s="75"/>
      <c r="T12" s="76"/>
      <c r="U12" s="77"/>
      <c r="V12" s="76"/>
      <c r="W12" s="75"/>
      <c r="X12" s="76"/>
      <c r="Y12" s="75"/>
      <c r="Z12" s="76"/>
      <c r="AA12" s="77"/>
      <c r="AB12" s="83"/>
      <c r="AC12" s="76"/>
      <c r="AD12" s="75"/>
      <c r="AE12" s="76"/>
      <c r="AF12" s="75"/>
      <c r="AG12" s="76"/>
    </row>
    <row r="13" spans="1:35" x14ac:dyDescent="0.25">
      <c r="A13" s="2" t="s">
        <v>0</v>
      </c>
      <c r="C13" s="75"/>
      <c r="D13" s="76"/>
      <c r="E13" s="75"/>
      <c r="F13" s="76"/>
      <c r="G13" s="75"/>
      <c r="H13" s="76"/>
      <c r="I13" s="77"/>
      <c r="J13" s="66"/>
      <c r="K13" s="75"/>
      <c r="L13" s="66"/>
      <c r="M13" s="75"/>
      <c r="N13" s="76"/>
      <c r="O13" s="77"/>
      <c r="P13" s="76"/>
      <c r="Q13" s="75"/>
      <c r="R13" s="76"/>
      <c r="S13" s="75"/>
      <c r="T13" s="76"/>
      <c r="U13" s="77"/>
      <c r="V13" s="76"/>
      <c r="W13" s="75"/>
      <c r="X13" s="76"/>
      <c r="Y13" s="75"/>
      <c r="Z13" s="76"/>
      <c r="AA13" s="77"/>
      <c r="AB13" s="83"/>
      <c r="AC13" s="76"/>
      <c r="AD13" s="75"/>
      <c r="AE13" s="76"/>
      <c r="AF13" s="75"/>
      <c r="AG13" s="76"/>
    </row>
    <row r="14" spans="1:35" x14ac:dyDescent="0.25">
      <c r="A14" s="1" t="s">
        <v>189</v>
      </c>
      <c r="C14" s="75"/>
      <c r="D14" s="76"/>
      <c r="E14" s="75"/>
      <c r="F14" s="76"/>
      <c r="G14" s="75"/>
      <c r="H14" s="76"/>
      <c r="I14" s="77"/>
      <c r="J14" s="66"/>
      <c r="K14" s="75"/>
      <c r="L14" s="66"/>
      <c r="M14" s="75"/>
      <c r="N14" s="76"/>
      <c r="O14" s="77"/>
      <c r="P14" s="76"/>
      <c r="Q14" s="75"/>
      <c r="R14" s="76"/>
      <c r="S14" s="75"/>
      <c r="T14" s="76"/>
      <c r="U14" s="77"/>
      <c r="V14" s="76"/>
      <c r="W14" s="75"/>
      <c r="X14" s="76"/>
      <c r="Y14" s="75"/>
      <c r="Z14" s="76"/>
      <c r="AA14" s="77"/>
      <c r="AB14" s="83"/>
      <c r="AC14" s="76"/>
      <c r="AD14" s="75"/>
      <c r="AE14" s="76"/>
      <c r="AF14" s="75"/>
      <c r="AG14" s="76"/>
    </row>
    <row r="15" spans="1:35" x14ac:dyDescent="0.25">
      <c r="A15" s="1" t="s">
        <v>190</v>
      </c>
      <c r="C15" s="75"/>
      <c r="D15" s="359">
        <v>193584</v>
      </c>
      <c r="E15" s="85"/>
      <c r="F15" s="352">
        <f>10363+11796</f>
        <v>22159</v>
      </c>
      <c r="G15" s="75"/>
      <c r="H15" s="437">
        <f>D15+F15</f>
        <v>215743</v>
      </c>
      <c r="I15" s="86"/>
      <c r="J15" s="355">
        <v>452067</v>
      </c>
      <c r="K15" s="85"/>
      <c r="L15" s="363">
        <v>96698</v>
      </c>
      <c r="M15" s="75"/>
      <c r="N15" s="437">
        <f>J15+L15</f>
        <v>548765</v>
      </c>
      <c r="O15" s="86"/>
      <c r="P15" s="357">
        <v>233863</v>
      </c>
      <c r="Q15" s="85"/>
      <c r="R15" s="364">
        <v>46846</v>
      </c>
      <c r="S15" s="75"/>
      <c r="T15" s="437">
        <f>P15+R15</f>
        <v>280709</v>
      </c>
      <c r="U15" s="86"/>
      <c r="V15" s="170">
        <v>0</v>
      </c>
      <c r="W15" s="85"/>
      <c r="X15" s="170">
        <v>0</v>
      </c>
      <c r="Y15" s="170"/>
      <c r="Z15" s="520">
        <f>V15+X15</f>
        <v>0</v>
      </c>
      <c r="AA15" s="86"/>
      <c r="AB15" s="382">
        <f>270500+538500+293100</f>
        <v>1102100</v>
      </c>
      <c r="AC15" s="437">
        <f>D15+J15+P15+V15</f>
        <v>879514</v>
      </c>
      <c r="AD15" s="478"/>
      <c r="AE15" s="437">
        <f>F15+L15+R15+X15</f>
        <v>165703</v>
      </c>
      <c r="AF15" s="478" t="s">
        <v>19</v>
      </c>
      <c r="AG15" s="437">
        <f>H15+N15+T15+Z15</f>
        <v>1045217</v>
      </c>
      <c r="AH15" s="452"/>
      <c r="AI15" s="566">
        <f>+AG15/AB15-1</f>
        <v>-5.161328373105889E-2</v>
      </c>
    </row>
    <row r="16" spans="1:35" x14ac:dyDescent="0.25">
      <c r="A16" s="1" t="s">
        <v>191</v>
      </c>
      <c r="C16" s="75"/>
      <c r="D16" s="360">
        <v>300</v>
      </c>
      <c r="E16" s="164"/>
      <c r="F16" s="361">
        <v>0</v>
      </c>
      <c r="G16" s="361"/>
      <c r="H16" s="455">
        <f>D16+F16</f>
        <v>300</v>
      </c>
      <c r="I16" s="88"/>
      <c r="J16" s="354">
        <v>2200</v>
      </c>
      <c r="K16" s="87"/>
      <c r="L16" s="362">
        <v>0</v>
      </c>
      <c r="M16" s="75"/>
      <c r="N16" s="435">
        <f>J16+L16</f>
        <v>2200</v>
      </c>
      <c r="O16" s="88"/>
      <c r="P16" s="356">
        <v>900</v>
      </c>
      <c r="Q16" s="87"/>
      <c r="R16" s="458">
        <v>0</v>
      </c>
      <c r="S16" s="75"/>
      <c r="T16" s="435">
        <f>P16+R16</f>
        <v>900</v>
      </c>
      <c r="U16" s="88"/>
      <c r="V16" s="164">
        <v>0</v>
      </c>
      <c r="W16" s="171"/>
      <c r="X16" s="164">
        <v>0</v>
      </c>
      <c r="Y16" s="172"/>
      <c r="Z16" s="447">
        <f>V16+X16</f>
        <v>0</v>
      </c>
      <c r="AA16" s="88"/>
      <c r="AB16" s="385">
        <v>2000</v>
      </c>
      <c r="AC16" s="435">
        <f>D16+J16+P16+V16</f>
        <v>3400</v>
      </c>
      <c r="AD16" s="468"/>
      <c r="AE16" s="435">
        <f>F16+L16+R16+X16</f>
        <v>0</v>
      </c>
      <c r="AF16" s="468" t="s">
        <v>19</v>
      </c>
      <c r="AG16" s="435">
        <f>H16+N16+T16+Z16</f>
        <v>3400</v>
      </c>
      <c r="AH16" s="438"/>
      <c r="AI16" s="566">
        <f>+AG16/AB16-1</f>
        <v>0.7</v>
      </c>
    </row>
    <row r="17" spans="1:37" ht="18" x14ac:dyDescent="0.4">
      <c r="A17" s="1" t="s">
        <v>5</v>
      </c>
      <c r="C17" s="75"/>
      <c r="D17" s="358">
        <v>6386</v>
      </c>
      <c r="E17" s="75"/>
      <c r="F17" s="353">
        <v>8027</v>
      </c>
      <c r="G17" s="75"/>
      <c r="H17" s="434">
        <f>D17+F17</f>
        <v>14413</v>
      </c>
      <c r="I17" s="88"/>
      <c r="J17" s="386">
        <v>12771</v>
      </c>
      <c r="K17" s="87"/>
      <c r="L17" s="365">
        <v>16055</v>
      </c>
      <c r="M17" s="75"/>
      <c r="N17" s="434">
        <f>J17+L17</f>
        <v>28826</v>
      </c>
      <c r="O17" s="371"/>
      <c r="P17" s="386">
        <v>6386</v>
      </c>
      <c r="Q17" s="87"/>
      <c r="R17" s="365">
        <v>8027</v>
      </c>
      <c r="S17" s="75"/>
      <c r="T17" s="434">
        <f>P17+R17</f>
        <v>14413</v>
      </c>
      <c r="U17" s="88"/>
      <c r="V17" s="162">
        <v>0</v>
      </c>
      <c r="W17" s="171"/>
      <c r="X17" s="162">
        <v>0</v>
      </c>
      <c r="Y17" s="172"/>
      <c r="Z17" s="498">
        <f>V17+X17</f>
        <v>0</v>
      </c>
      <c r="AA17" s="88"/>
      <c r="AB17" s="386">
        <v>44500</v>
      </c>
      <c r="AC17" s="432">
        <f>D17+J17+P17+V17</f>
        <v>25543</v>
      </c>
      <c r="AD17" s="468"/>
      <c r="AE17" s="432">
        <f>F17+L17+R17+X17</f>
        <v>32109</v>
      </c>
      <c r="AF17" s="468" t="s">
        <v>19</v>
      </c>
      <c r="AG17" s="434">
        <f>H17+N17+T17+Z17</f>
        <v>57652</v>
      </c>
      <c r="AH17" s="438"/>
      <c r="AI17" s="567">
        <f>+AG17/AB17-1</f>
        <v>0.29555056179775274</v>
      </c>
    </row>
    <row r="18" spans="1:37" ht="18" x14ac:dyDescent="0.4">
      <c r="A18" s="1" t="s">
        <v>161</v>
      </c>
      <c r="C18" s="75"/>
      <c r="D18" s="68">
        <f>SUM(D15:D17)</f>
        <v>200270</v>
      </c>
      <c r="E18" s="75"/>
      <c r="F18" s="68">
        <f>SUM(F15:F17)</f>
        <v>30186</v>
      </c>
      <c r="G18" s="75"/>
      <c r="H18" s="432">
        <f>SUM(H15:H17)</f>
        <v>230456</v>
      </c>
      <c r="I18" s="88"/>
      <c r="J18" s="68">
        <f>SUM(J15:J17)</f>
        <v>467038</v>
      </c>
      <c r="K18" s="87"/>
      <c r="L18" s="68">
        <f>SUM(L15:L17)</f>
        <v>112753</v>
      </c>
      <c r="M18" s="75"/>
      <c r="N18" s="432">
        <f>SUM(N15:N17)</f>
        <v>579791</v>
      </c>
      <c r="O18" s="88"/>
      <c r="P18" s="68">
        <f>SUM(P15:P17)</f>
        <v>241149</v>
      </c>
      <c r="Q18" s="87"/>
      <c r="R18" s="68">
        <f>SUM(R15:R17)</f>
        <v>54873</v>
      </c>
      <c r="S18" s="75"/>
      <c r="T18" s="432">
        <f>SUM(T15:T17)</f>
        <v>296022</v>
      </c>
      <c r="U18" s="88"/>
      <c r="V18" s="162">
        <f>SUM(V15:V17)</f>
        <v>0</v>
      </c>
      <c r="W18" s="171"/>
      <c r="X18" s="162">
        <f>SUM(X15:X17)</f>
        <v>0</v>
      </c>
      <c r="Y18" s="172"/>
      <c r="Z18" s="498">
        <f>SUM(Z15:Z17)</f>
        <v>0</v>
      </c>
      <c r="AA18" s="88"/>
      <c r="AB18" s="386">
        <f>SUM(AB15:AB17)</f>
        <v>1148600</v>
      </c>
      <c r="AC18" s="432">
        <f>SUM(AC15:AC17)</f>
        <v>908457</v>
      </c>
      <c r="AD18" s="468"/>
      <c r="AE18" s="432">
        <f>SUM(AE15:AE17)</f>
        <v>197812</v>
      </c>
      <c r="AF18" s="468"/>
      <c r="AG18" s="432">
        <f>SUM(AG15:AG17)</f>
        <v>1106269</v>
      </c>
      <c r="AH18" s="438"/>
      <c r="AI18" s="567">
        <f>+AG18/AB18-1</f>
        <v>-3.6854431481803895E-2</v>
      </c>
    </row>
    <row r="19" spans="1:37" x14ac:dyDescent="0.25">
      <c r="C19" s="75"/>
      <c r="D19" s="66"/>
      <c r="E19" s="75"/>
      <c r="F19" s="66"/>
      <c r="G19" s="75"/>
      <c r="H19" s="435"/>
      <c r="I19" s="88"/>
      <c r="J19" s="66"/>
      <c r="K19" s="87"/>
      <c r="L19" s="66"/>
      <c r="M19" s="75"/>
      <c r="N19" s="435"/>
      <c r="O19" s="88"/>
      <c r="P19" s="66"/>
      <c r="Q19" s="87"/>
      <c r="R19" s="66"/>
      <c r="S19" s="75"/>
      <c r="T19" s="435"/>
      <c r="U19" s="88"/>
      <c r="V19" s="66"/>
      <c r="W19" s="87"/>
      <c r="X19" s="66"/>
      <c r="Y19" s="75"/>
      <c r="Z19" s="435"/>
      <c r="AA19" s="88"/>
      <c r="AB19" s="90"/>
      <c r="AC19" s="435"/>
      <c r="AD19" s="468"/>
      <c r="AE19" s="435"/>
      <c r="AF19" s="468"/>
      <c r="AG19" s="435"/>
      <c r="AH19" s="438"/>
      <c r="AI19" s="427"/>
    </row>
    <row r="20" spans="1:37" x14ac:dyDescent="0.25">
      <c r="A20" s="2" t="s">
        <v>169</v>
      </c>
      <c r="C20" s="75"/>
      <c r="D20" s="76"/>
      <c r="E20" s="75"/>
      <c r="F20" s="66"/>
      <c r="G20" s="75"/>
      <c r="H20" s="435"/>
      <c r="I20" s="88"/>
      <c r="J20" s="66"/>
      <c r="K20" s="87"/>
      <c r="L20" s="66"/>
      <c r="M20" s="75"/>
      <c r="N20" s="435"/>
      <c r="O20" s="88"/>
      <c r="P20" s="66"/>
      <c r="Q20" s="87"/>
      <c r="R20" s="66"/>
      <c r="S20" s="75"/>
      <c r="T20" s="435"/>
      <c r="U20" s="88"/>
      <c r="V20" s="66"/>
      <c r="W20" s="87"/>
      <c r="X20" s="66"/>
      <c r="Y20" s="75"/>
      <c r="Z20" s="435"/>
      <c r="AA20" s="88"/>
      <c r="AB20" s="90"/>
      <c r="AC20" s="435"/>
      <c r="AD20" s="468"/>
      <c r="AE20" s="435"/>
      <c r="AF20" s="468"/>
      <c r="AG20" s="435"/>
      <c r="AH20" s="438"/>
      <c r="AI20" s="427"/>
    </row>
    <row r="21" spans="1:37" s="36" customFormat="1" x14ac:dyDescent="0.25">
      <c r="A21" s="36" t="s">
        <v>170</v>
      </c>
      <c r="C21" s="89"/>
      <c r="D21" s="506">
        <v>47119</v>
      </c>
      <c r="E21" s="515"/>
      <c r="F21" s="289">
        <v>7727</v>
      </c>
      <c r="G21" s="83"/>
      <c r="H21" s="563">
        <f>D21+F21</f>
        <v>54846</v>
      </c>
      <c r="I21" s="88"/>
      <c r="J21" s="506">
        <v>59970</v>
      </c>
      <c r="K21" s="506"/>
      <c r="L21" s="289">
        <v>9835</v>
      </c>
      <c r="M21" s="515"/>
      <c r="N21" s="563">
        <f t="shared" ref="N21:N42" si="0">J21+L21</f>
        <v>69805</v>
      </c>
      <c r="O21" s="564"/>
      <c r="P21" s="506">
        <v>35696</v>
      </c>
      <c r="Q21" s="506"/>
      <c r="R21" s="289">
        <v>5854</v>
      </c>
      <c r="S21" s="515"/>
      <c r="T21" s="563">
        <f t="shared" ref="T21:T42" si="1">P21+R21</f>
        <v>41550</v>
      </c>
      <c r="U21" s="564"/>
      <c r="V21" s="289">
        <v>0</v>
      </c>
      <c r="W21" s="289"/>
      <c r="X21" s="289">
        <v>0</v>
      </c>
      <c r="Y21" s="289"/>
      <c r="Z21" s="541">
        <f t="shared" ref="Z21:Z42" si="2">V21+X21</f>
        <v>0</v>
      </c>
      <c r="AA21" s="564"/>
      <c r="AB21" s="506">
        <v>145900</v>
      </c>
      <c r="AC21" s="563">
        <f t="shared" ref="AC21:AC41" si="3">D21+J21+P21+V21</f>
        <v>142785</v>
      </c>
      <c r="AD21" s="563"/>
      <c r="AE21" s="563">
        <f t="shared" ref="AE21:AE41" si="4">F21+L21+R21+X21</f>
        <v>23416</v>
      </c>
      <c r="AF21" s="563"/>
      <c r="AG21" s="563">
        <f t="shared" ref="AG21:AG41" si="5">H21+N21+T21+Z21</f>
        <v>166201</v>
      </c>
      <c r="AH21" s="568"/>
      <c r="AI21" s="566">
        <f t="shared" ref="AI21:AI43" si="6">+AG21/AB21-1</f>
        <v>0.1391432488005484</v>
      </c>
    </row>
    <row r="22" spans="1:37" s="369" customFormat="1" ht="15" customHeight="1" x14ac:dyDescent="0.25">
      <c r="A22" s="369" t="s">
        <v>496</v>
      </c>
      <c r="C22" s="89"/>
      <c r="D22" s="506">
        <v>0</v>
      </c>
      <c r="E22" s="515"/>
      <c r="F22" s="289">
        <v>0</v>
      </c>
      <c r="G22" s="83"/>
      <c r="H22" s="563">
        <f>D22+F22</f>
        <v>0</v>
      </c>
      <c r="I22" s="371"/>
      <c r="J22" s="506">
        <v>0</v>
      </c>
      <c r="K22" s="506"/>
      <c r="L22" s="289">
        <v>0</v>
      </c>
      <c r="M22" s="515"/>
      <c r="N22" s="563">
        <f t="shared" si="0"/>
        <v>0</v>
      </c>
      <c r="O22" s="564"/>
      <c r="P22" s="506">
        <v>0</v>
      </c>
      <c r="Q22" s="506"/>
      <c r="R22" s="289">
        <v>0</v>
      </c>
      <c r="S22" s="515"/>
      <c r="T22" s="563">
        <f t="shared" si="1"/>
        <v>0</v>
      </c>
      <c r="U22" s="564"/>
      <c r="V22" s="289">
        <v>0</v>
      </c>
      <c r="W22" s="289"/>
      <c r="X22" s="289">
        <v>0</v>
      </c>
      <c r="Y22" s="289"/>
      <c r="Z22" s="541">
        <f t="shared" si="2"/>
        <v>0</v>
      </c>
      <c r="AA22" s="564"/>
      <c r="AB22" s="506">
        <v>0</v>
      </c>
      <c r="AC22" s="563">
        <f t="shared" si="3"/>
        <v>0</v>
      </c>
      <c r="AD22" s="563">
        <v>0</v>
      </c>
      <c r="AE22" s="563">
        <f t="shared" si="4"/>
        <v>0</v>
      </c>
      <c r="AF22" s="563"/>
      <c r="AG22" s="563">
        <f t="shared" si="5"/>
        <v>0</v>
      </c>
      <c r="AH22" s="568"/>
      <c r="AI22" s="566">
        <v>0</v>
      </c>
    </row>
    <row r="23" spans="1:37" s="36" customFormat="1" x14ac:dyDescent="0.25">
      <c r="A23" s="36" t="s">
        <v>171</v>
      </c>
      <c r="C23" s="89"/>
      <c r="D23" s="506">
        <v>3531</v>
      </c>
      <c r="E23" s="515"/>
      <c r="F23" s="289">
        <v>575</v>
      </c>
      <c r="G23" s="83"/>
      <c r="H23" s="563">
        <f t="shared" ref="H23:H42" si="7">D23+F23</f>
        <v>4106</v>
      </c>
      <c r="I23" s="88"/>
      <c r="J23" s="506">
        <v>4495</v>
      </c>
      <c r="K23" s="506"/>
      <c r="L23" s="289">
        <v>732</v>
      </c>
      <c r="M23" s="515"/>
      <c r="N23" s="563">
        <f t="shared" si="0"/>
        <v>5227</v>
      </c>
      <c r="O23" s="564"/>
      <c r="P23" s="506">
        <v>2676</v>
      </c>
      <c r="Q23" s="506"/>
      <c r="R23" s="289">
        <v>436</v>
      </c>
      <c r="S23" s="515"/>
      <c r="T23" s="563">
        <f t="shared" si="1"/>
        <v>3112</v>
      </c>
      <c r="U23" s="564"/>
      <c r="V23" s="289">
        <v>0</v>
      </c>
      <c r="W23" s="289"/>
      <c r="X23" s="289">
        <v>0</v>
      </c>
      <c r="Y23" s="289"/>
      <c r="Z23" s="541">
        <f t="shared" si="2"/>
        <v>0</v>
      </c>
      <c r="AA23" s="564"/>
      <c r="AB23" s="506">
        <v>11950</v>
      </c>
      <c r="AC23" s="563">
        <f t="shared" si="3"/>
        <v>10702</v>
      </c>
      <c r="AD23" s="563"/>
      <c r="AE23" s="563">
        <f t="shared" si="4"/>
        <v>1743</v>
      </c>
      <c r="AF23" s="563"/>
      <c r="AG23" s="563">
        <f t="shared" si="5"/>
        <v>12445</v>
      </c>
      <c r="AH23" s="568"/>
      <c r="AI23" s="566">
        <f t="shared" si="6"/>
        <v>4.1422594142259461E-2</v>
      </c>
      <c r="AK23" s="38"/>
    </row>
    <row r="24" spans="1:37" s="36" customFormat="1" x14ac:dyDescent="0.25">
      <c r="A24" s="36" t="s">
        <v>172</v>
      </c>
      <c r="C24" s="89"/>
      <c r="D24" s="506">
        <v>6561</v>
      </c>
      <c r="E24" s="515"/>
      <c r="F24" s="289">
        <v>1457</v>
      </c>
      <c r="G24" s="83"/>
      <c r="H24" s="563">
        <f t="shared" si="7"/>
        <v>8018</v>
      </c>
      <c r="I24" s="88"/>
      <c r="J24" s="506">
        <v>13122</v>
      </c>
      <c r="K24" s="506"/>
      <c r="L24" s="289">
        <v>2914</v>
      </c>
      <c r="M24" s="515"/>
      <c r="N24" s="563">
        <f t="shared" si="0"/>
        <v>16036</v>
      </c>
      <c r="O24" s="564"/>
      <c r="P24" s="506">
        <v>6561</v>
      </c>
      <c r="Q24" s="506"/>
      <c r="R24" s="289">
        <v>1457</v>
      </c>
      <c r="S24" s="515"/>
      <c r="T24" s="563">
        <f t="shared" si="1"/>
        <v>8018</v>
      </c>
      <c r="U24" s="564"/>
      <c r="V24" s="289">
        <v>0</v>
      </c>
      <c r="W24" s="289"/>
      <c r="X24" s="289">
        <v>0</v>
      </c>
      <c r="Y24" s="289"/>
      <c r="Z24" s="541">
        <f t="shared" si="2"/>
        <v>0</v>
      </c>
      <c r="AA24" s="564"/>
      <c r="AB24" s="506">
        <v>32200</v>
      </c>
      <c r="AC24" s="563">
        <f t="shared" si="3"/>
        <v>26244</v>
      </c>
      <c r="AD24" s="563"/>
      <c r="AE24" s="563">
        <f t="shared" si="4"/>
        <v>5828</v>
      </c>
      <c r="AF24" s="563"/>
      <c r="AG24" s="563">
        <f t="shared" si="5"/>
        <v>32072</v>
      </c>
      <c r="AH24" s="568"/>
      <c r="AI24" s="566">
        <f t="shared" si="6"/>
        <v>-3.9751552795030953E-3</v>
      </c>
    </row>
    <row r="25" spans="1:37" s="36" customFormat="1" x14ac:dyDescent="0.25">
      <c r="A25" s="36" t="s">
        <v>173</v>
      </c>
      <c r="C25" s="83"/>
      <c r="D25" s="506">
        <f>37497-7694</f>
        <v>29803</v>
      </c>
      <c r="E25" s="515"/>
      <c r="F25" s="506">
        <f>5132+3000</f>
        <v>8132</v>
      </c>
      <c r="G25" s="83"/>
      <c r="H25" s="506">
        <f t="shared" si="7"/>
        <v>37935</v>
      </c>
      <c r="I25" s="88"/>
      <c r="J25" s="506">
        <v>0</v>
      </c>
      <c r="K25" s="289"/>
      <c r="L25" s="289">
        <v>0</v>
      </c>
      <c r="M25" s="289"/>
      <c r="N25" s="541">
        <f t="shared" si="0"/>
        <v>0</v>
      </c>
      <c r="O25" s="564"/>
      <c r="P25" s="506">
        <v>0</v>
      </c>
      <c r="Q25" s="289"/>
      <c r="R25" s="289">
        <v>0</v>
      </c>
      <c r="S25" s="289"/>
      <c r="T25" s="541">
        <f t="shared" si="1"/>
        <v>0</v>
      </c>
      <c r="U25" s="564"/>
      <c r="V25" s="289">
        <v>0</v>
      </c>
      <c r="W25" s="289"/>
      <c r="X25" s="289">
        <v>0</v>
      </c>
      <c r="Y25" s="289"/>
      <c r="Z25" s="541">
        <f t="shared" si="2"/>
        <v>0</v>
      </c>
      <c r="AA25" s="564"/>
      <c r="AB25" s="506">
        <v>77100</v>
      </c>
      <c r="AC25" s="563">
        <f t="shared" si="3"/>
        <v>29803</v>
      </c>
      <c r="AD25" s="563"/>
      <c r="AE25" s="563">
        <f t="shared" si="4"/>
        <v>8132</v>
      </c>
      <c r="AF25" s="563"/>
      <c r="AG25" s="563">
        <f t="shared" si="5"/>
        <v>37935</v>
      </c>
      <c r="AH25" s="568"/>
      <c r="AI25" s="566">
        <f t="shared" si="6"/>
        <v>-0.50797665369649803</v>
      </c>
    </row>
    <row r="26" spans="1:37" s="227" customFormat="1" x14ac:dyDescent="0.25">
      <c r="A26" s="83" t="s">
        <v>192</v>
      </c>
      <c r="B26" s="83"/>
      <c r="C26" s="83"/>
      <c r="D26" s="506">
        <v>11865</v>
      </c>
      <c r="E26" s="515"/>
      <c r="F26" s="289">
        <v>3000</v>
      </c>
      <c r="G26" s="83"/>
      <c r="H26" s="563">
        <f t="shared" si="7"/>
        <v>14865</v>
      </c>
      <c r="I26" s="88"/>
      <c r="J26" s="506">
        <v>80621</v>
      </c>
      <c r="K26" s="506"/>
      <c r="L26" s="289">
        <v>9500</v>
      </c>
      <c r="M26" s="515"/>
      <c r="N26" s="563">
        <f t="shared" si="0"/>
        <v>90121</v>
      </c>
      <c r="O26" s="564"/>
      <c r="P26" s="506">
        <v>78792</v>
      </c>
      <c r="Q26" s="506"/>
      <c r="R26" s="289">
        <v>2500</v>
      </c>
      <c r="S26" s="515"/>
      <c r="T26" s="563">
        <f t="shared" si="1"/>
        <v>81292</v>
      </c>
      <c r="U26" s="564"/>
      <c r="V26" s="289">
        <v>1506</v>
      </c>
      <c r="W26" s="289"/>
      <c r="X26" s="289">
        <v>200</v>
      </c>
      <c r="Y26" s="289"/>
      <c r="Z26" s="541">
        <f t="shared" si="2"/>
        <v>1706</v>
      </c>
      <c r="AA26" s="564"/>
      <c r="AB26" s="506">
        <v>131100</v>
      </c>
      <c r="AC26" s="563">
        <f t="shared" si="3"/>
        <v>172784</v>
      </c>
      <c r="AD26" s="563"/>
      <c r="AE26" s="563">
        <f t="shared" si="4"/>
        <v>15200</v>
      </c>
      <c r="AF26" s="563"/>
      <c r="AG26" s="563">
        <f t="shared" si="5"/>
        <v>187984</v>
      </c>
      <c r="AH26" s="569"/>
      <c r="AI26" s="570">
        <f t="shared" si="6"/>
        <v>0.43389778794813116</v>
      </c>
    </row>
    <row r="27" spans="1:37" s="36" customFormat="1" x14ac:dyDescent="0.25">
      <c r="A27" s="36" t="s">
        <v>174</v>
      </c>
      <c r="C27" s="83"/>
      <c r="D27" s="289">
        <v>0</v>
      </c>
      <c r="E27" s="289"/>
      <c r="F27" s="289">
        <v>0</v>
      </c>
      <c r="G27" s="164"/>
      <c r="H27" s="541">
        <f t="shared" si="7"/>
        <v>0</v>
      </c>
      <c r="I27" s="88"/>
      <c r="J27" s="506">
        <v>76820</v>
      </c>
      <c r="K27" s="506"/>
      <c r="L27" s="289">
        <v>8100</v>
      </c>
      <c r="M27" s="515"/>
      <c r="N27" s="563">
        <f t="shared" si="0"/>
        <v>84920</v>
      </c>
      <c r="O27" s="564"/>
      <c r="P27" s="506">
        <v>1525</v>
      </c>
      <c r="Q27" s="506"/>
      <c r="R27" s="289">
        <v>500</v>
      </c>
      <c r="S27" s="515"/>
      <c r="T27" s="563">
        <f t="shared" si="1"/>
        <v>2025</v>
      </c>
      <c r="U27" s="564"/>
      <c r="V27" s="289">
        <v>0</v>
      </c>
      <c r="W27" s="289"/>
      <c r="X27" s="289">
        <v>0</v>
      </c>
      <c r="Y27" s="289"/>
      <c r="Z27" s="541">
        <f t="shared" si="2"/>
        <v>0</v>
      </c>
      <c r="AA27" s="564"/>
      <c r="AB27" s="506">
        <v>116000</v>
      </c>
      <c r="AC27" s="563">
        <f t="shared" si="3"/>
        <v>78345</v>
      </c>
      <c r="AD27" s="563"/>
      <c r="AE27" s="541">
        <f t="shared" si="4"/>
        <v>8600</v>
      </c>
      <c r="AF27" s="563"/>
      <c r="AG27" s="563">
        <f t="shared" si="5"/>
        <v>86945</v>
      </c>
      <c r="AH27" s="568"/>
      <c r="AI27" s="566">
        <f t="shared" si="6"/>
        <v>-0.25047413793103446</v>
      </c>
    </row>
    <row r="28" spans="1:37" s="36" customFormat="1" x14ac:dyDescent="0.25">
      <c r="A28" s="36" t="s">
        <v>440</v>
      </c>
      <c r="C28" s="83"/>
      <c r="D28" s="289">
        <v>0</v>
      </c>
      <c r="E28" s="515"/>
      <c r="F28" s="289">
        <v>0</v>
      </c>
      <c r="G28" s="164"/>
      <c r="H28" s="541">
        <f t="shared" si="7"/>
        <v>0</v>
      </c>
      <c r="I28" s="88"/>
      <c r="J28" s="506">
        <v>10000</v>
      </c>
      <c r="K28" s="506" t="s">
        <v>19</v>
      </c>
      <c r="L28" s="289">
        <v>2000</v>
      </c>
      <c r="M28" s="515"/>
      <c r="N28" s="563">
        <f t="shared" si="0"/>
        <v>12000</v>
      </c>
      <c r="O28" s="564"/>
      <c r="P28" s="506">
        <v>12990</v>
      </c>
      <c r="Q28" s="289"/>
      <c r="R28" s="289">
        <v>2598</v>
      </c>
      <c r="S28" s="289"/>
      <c r="T28" s="563">
        <f t="shared" si="1"/>
        <v>15588</v>
      </c>
      <c r="U28" s="564"/>
      <c r="V28" s="289">
        <v>0</v>
      </c>
      <c r="W28" s="289"/>
      <c r="X28" s="289">
        <v>0</v>
      </c>
      <c r="Y28" s="289"/>
      <c r="Z28" s="541">
        <f t="shared" si="2"/>
        <v>0</v>
      </c>
      <c r="AA28" s="564"/>
      <c r="AB28" s="506">
        <v>29115</v>
      </c>
      <c r="AC28" s="563">
        <f t="shared" si="3"/>
        <v>22990</v>
      </c>
      <c r="AD28" s="563"/>
      <c r="AE28" s="541">
        <f t="shared" si="4"/>
        <v>4598</v>
      </c>
      <c r="AF28" s="563"/>
      <c r="AG28" s="563">
        <f t="shared" si="5"/>
        <v>27588</v>
      </c>
      <c r="AH28" s="568"/>
      <c r="AI28" s="566">
        <f t="shared" si="6"/>
        <v>-5.244719216898508E-2</v>
      </c>
    </row>
    <row r="29" spans="1:37" s="36" customFormat="1" x14ac:dyDescent="0.25">
      <c r="A29" s="36" t="s">
        <v>193</v>
      </c>
      <c r="C29" s="83"/>
      <c r="D29" s="289">
        <v>0</v>
      </c>
      <c r="E29" s="515"/>
      <c r="F29" s="289">
        <v>0</v>
      </c>
      <c r="G29" s="164"/>
      <c r="H29" s="541">
        <f t="shared" si="7"/>
        <v>0</v>
      </c>
      <c r="I29" s="88"/>
      <c r="J29" s="506">
        <v>0</v>
      </c>
      <c r="K29" s="506"/>
      <c r="L29" s="289">
        <v>0</v>
      </c>
      <c r="M29" s="289"/>
      <c r="N29" s="541">
        <f t="shared" si="0"/>
        <v>0</v>
      </c>
      <c r="O29" s="564"/>
      <c r="P29" s="506">
        <v>0</v>
      </c>
      <c r="Q29" s="289"/>
      <c r="R29" s="289">
        <v>0</v>
      </c>
      <c r="S29" s="289"/>
      <c r="T29" s="541">
        <f t="shared" si="1"/>
        <v>0</v>
      </c>
      <c r="U29" s="564"/>
      <c r="V29" s="289">
        <v>2055</v>
      </c>
      <c r="W29" s="506"/>
      <c r="X29" s="289">
        <v>650</v>
      </c>
      <c r="Y29" s="515"/>
      <c r="Z29" s="563">
        <f t="shared" si="2"/>
        <v>2705</v>
      </c>
      <c r="AA29" s="564"/>
      <c r="AB29" s="506">
        <v>2450</v>
      </c>
      <c r="AC29" s="563">
        <f t="shared" si="3"/>
        <v>2055</v>
      </c>
      <c r="AD29" s="563"/>
      <c r="AE29" s="541">
        <f t="shared" si="4"/>
        <v>650</v>
      </c>
      <c r="AF29" s="563"/>
      <c r="AG29" s="563">
        <f t="shared" si="5"/>
        <v>2705</v>
      </c>
      <c r="AH29" s="568"/>
      <c r="AI29" s="566">
        <f t="shared" si="6"/>
        <v>0.10408163265306114</v>
      </c>
    </row>
    <row r="30" spans="1:37" s="36" customFormat="1" x14ac:dyDescent="0.25">
      <c r="A30" s="36" t="s">
        <v>551</v>
      </c>
      <c r="C30" s="83"/>
      <c r="D30" s="289">
        <v>0</v>
      </c>
      <c r="E30" s="515"/>
      <c r="F30" s="289">
        <v>0</v>
      </c>
      <c r="G30" s="164"/>
      <c r="H30" s="541">
        <f t="shared" si="7"/>
        <v>0</v>
      </c>
      <c r="I30" s="88"/>
      <c r="J30" s="506">
        <v>0</v>
      </c>
      <c r="K30" s="506"/>
      <c r="L30" s="289">
        <v>0</v>
      </c>
      <c r="M30" s="289"/>
      <c r="N30" s="541">
        <f t="shared" si="0"/>
        <v>0</v>
      </c>
      <c r="O30" s="564"/>
      <c r="P30" s="506">
        <v>0</v>
      </c>
      <c r="Q30" s="289"/>
      <c r="R30" s="289">
        <v>0</v>
      </c>
      <c r="S30" s="289"/>
      <c r="T30" s="541">
        <v>0</v>
      </c>
      <c r="U30" s="564"/>
      <c r="V30" s="289">
        <v>3294</v>
      </c>
      <c r="W30" s="506"/>
      <c r="X30" s="289">
        <v>1108</v>
      </c>
      <c r="Y30" s="515"/>
      <c r="Z30" s="563">
        <f t="shared" si="2"/>
        <v>4402</v>
      </c>
      <c r="AA30" s="564"/>
      <c r="AB30" s="506">
        <v>900</v>
      </c>
      <c r="AC30" s="563">
        <f t="shared" si="3"/>
        <v>3294</v>
      </c>
      <c r="AD30" s="563"/>
      <c r="AE30" s="541">
        <f t="shared" si="4"/>
        <v>1108</v>
      </c>
      <c r="AF30" s="563"/>
      <c r="AG30" s="563">
        <f t="shared" si="5"/>
        <v>4402</v>
      </c>
      <c r="AH30" s="568"/>
      <c r="AI30" s="566">
        <f t="shared" si="6"/>
        <v>3.891111111111111</v>
      </c>
    </row>
    <row r="31" spans="1:37" s="36" customFormat="1" x14ac:dyDescent="0.25">
      <c r="A31" s="36" t="s">
        <v>175</v>
      </c>
      <c r="C31" s="83"/>
      <c r="D31" s="289">
        <v>0</v>
      </c>
      <c r="E31" s="515"/>
      <c r="F31" s="289">
        <v>0</v>
      </c>
      <c r="G31" s="164"/>
      <c r="H31" s="541">
        <f t="shared" si="7"/>
        <v>0</v>
      </c>
      <c r="I31" s="88"/>
      <c r="J31" s="506">
        <v>0</v>
      </c>
      <c r="K31" s="506"/>
      <c r="L31" s="289">
        <v>0</v>
      </c>
      <c r="M31" s="289"/>
      <c r="N31" s="541">
        <f t="shared" si="0"/>
        <v>0</v>
      </c>
      <c r="O31" s="564"/>
      <c r="P31" s="506">
        <v>0</v>
      </c>
      <c r="Q31" s="289"/>
      <c r="R31" s="289">
        <v>0</v>
      </c>
      <c r="S31" s="289"/>
      <c r="T31" s="541">
        <f t="shared" si="1"/>
        <v>0</v>
      </c>
      <c r="U31" s="564"/>
      <c r="V31" s="289">
        <v>12452</v>
      </c>
      <c r="W31" s="506"/>
      <c r="X31" s="289">
        <v>2579</v>
      </c>
      <c r="Y31" s="515"/>
      <c r="Z31" s="563">
        <f t="shared" si="2"/>
        <v>15031</v>
      </c>
      <c r="AA31" s="564"/>
      <c r="AB31" s="506">
        <v>12000</v>
      </c>
      <c r="AC31" s="563">
        <f t="shared" si="3"/>
        <v>12452</v>
      </c>
      <c r="AD31" s="563"/>
      <c r="AE31" s="541">
        <f t="shared" si="4"/>
        <v>2579</v>
      </c>
      <c r="AF31" s="563"/>
      <c r="AG31" s="563">
        <f t="shared" si="5"/>
        <v>15031</v>
      </c>
      <c r="AH31" s="568"/>
      <c r="AI31" s="566">
        <f t="shared" si="6"/>
        <v>0.25258333333333338</v>
      </c>
    </row>
    <row r="32" spans="1:37" s="36" customFormat="1" x14ac:dyDescent="0.25">
      <c r="A32" s="36" t="s">
        <v>176</v>
      </c>
      <c r="C32" s="83"/>
      <c r="D32" s="289">
        <v>0</v>
      </c>
      <c r="E32" s="515"/>
      <c r="F32" s="289">
        <v>0</v>
      </c>
      <c r="G32" s="164"/>
      <c r="H32" s="541">
        <f t="shared" si="7"/>
        <v>0</v>
      </c>
      <c r="I32" s="88"/>
      <c r="J32" s="506">
        <v>27977</v>
      </c>
      <c r="K32" s="506"/>
      <c r="L32" s="289">
        <v>4990</v>
      </c>
      <c r="M32" s="515"/>
      <c r="N32" s="563">
        <f t="shared" si="0"/>
        <v>32967</v>
      </c>
      <c r="O32" s="564"/>
      <c r="P32" s="506">
        <v>21681</v>
      </c>
      <c r="Q32" s="506"/>
      <c r="R32" s="289">
        <v>4300</v>
      </c>
      <c r="S32" s="515"/>
      <c r="T32" s="563">
        <f t="shared" si="1"/>
        <v>25981</v>
      </c>
      <c r="U32" s="564"/>
      <c r="V32" s="289">
        <v>2014</v>
      </c>
      <c r="W32" s="506"/>
      <c r="X32" s="289">
        <v>500</v>
      </c>
      <c r="Y32" s="515"/>
      <c r="Z32" s="563">
        <f t="shared" si="2"/>
        <v>2514</v>
      </c>
      <c r="AA32" s="564"/>
      <c r="AB32" s="506">
        <v>65000</v>
      </c>
      <c r="AC32" s="563">
        <f t="shared" si="3"/>
        <v>51672</v>
      </c>
      <c r="AD32" s="563"/>
      <c r="AE32" s="541">
        <f t="shared" si="4"/>
        <v>9790</v>
      </c>
      <c r="AF32" s="563"/>
      <c r="AG32" s="563">
        <f t="shared" si="5"/>
        <v>61462</v>
      </c>
      <c r="AH32" s="568"/>
      <c r="AI32" s="566">
        <f t="shared" si="6"/>
        <v>-5.4430769230769283E-2</v>
      </c>
    </row>
    <row r="33" spans="1:35" s="36" customFormat="1" x14ac:dyDescent="0.25">
      <c r="A33" s="36" t="s">
        <v>177</v>
      </c>
      <c r="C33" s="83"/>
      <c r="D33" s="289">
        <v>0</v>
      </c>
      <c r="E33" s="515"/>
      <c r="F33" s="289">
        <v>0</v>
      </c>
      <c r="G33" s="164"/>
      <c r="H33" s="541">
        <f t="shared" si="7"/>
        <v>0</v>
      </c>
      <c r="I33" s="88"/>
      <c r="J33" s="506">
        <v>2591</v>
      </c>
      <c r="K33" s="506"/>
      <c r="L33" s="289">
        <v>501</v>
      </c>
      <c r="M33" s="515"/>
      <c r="N33" s="563">
        <f t="shared" si="0"/>
        <v>3092</v>
      </c>
      <c r="O33" s="564"/>
      <c r="P33" s="506">
        <v>3652</v>
      </c>
      <c r="Q33" s="506"/>
      <c r="R33" s="289">
        <v>608</v>
      </c>
      <c r="S33" s="515"/>
      <c r="T33" s="563">
        <f t="shared" si="1"/>
        <v>4260</v>
      </c>
      <c r="U33" s="564"/>
      <c r="V33" s="289">
        <v>25887</v>
      </c>
      <c r="W33" s="506"/>
      <c r="X33" s="289">
        <v>4608</v>
      </c>
      <c r="Y33" s="515"/>
      <c r="Z33" s="563">
        <f t="shared" si="2"/>
        <v>30495</v>
      </c>
      <c r="AA33" s="564"/>
      <c r="AB33" s="506">
        <v>28770</v>
      </c>
      <c r="AC33" s="563">
        <f t="shared" si="3"/>
        <v>32130</v>
      </c>
      <c r="AD33" s="563"/>
      <c r="AE33" s="541">
        <f t="shared" si="4"/>
        <v>5717</v>
      </c>
      <c r="AF33" s="563"/>
      <c r="AG33" s="563">
        <f t="shared" si="5"/>
        <v>37847</v>
      </c>
      <c r="AH33" s="568"/>
      <c r="AI33" s="566">
        <f t="shared" si="6"/>
        <v>0.31550225929787978</v>
      </c>
    </row>
    <row r="34" spans="1:35" s="36" customFormat="1" x14ac:dyDescent="0.25">
      <c r="A34" s="36" t="s">
        <v>178</v>
      </c>
      <c r="C34" s="83"/>
      <c r="D34" s="289">
        <v>0</v>
      </c>
      <c r="E34" s="515"/>
      <c r="F34" s="289">
        <v>0</v>
      </c>
      <c r="G34" s="164"/>
      <c r="H34" s="541">
        <f t="shared" si="7"/>
        <v>0</v>
      </c>
      <c r="I34" s="88"/>
      <c r="J34" s="506">
        <v>0</v>
      </c>
      <c r="K34" s="506"/>
      <c r="L34" s="289">
        <v>0</v>
      </c>
      <c r="M34" s="289"/>
      <c r="N34" s="541">
        <f t="shared" si="0"/>
        <v>0</v>
      </c>
      <c r="O34" s="564"/>
      <c r="P34" s="506">
        <v>0</v>
      </c>
      <c r="Q34" s="506"/>
      <c r="R34" s="289">
        <v>0</v>
      </c>
      <c r="S34" s="289"/>
      <c r="T34" s="541">
        <f t="shared" si="1"/>
        <v>0</v>
      </c>
      <c r="U34" s="564"/>
      <c r="V34" s="289">
        <f>29268-5490</f>
        <v>23778</v>
      </c>
      <c r="W34" s="506"/>
      <c r="X34" s="289">
        <v>4200</v>
      </c>
      <c r="Y34" s="515"/>
      <c r="Z34" s="563">
        <f t="shared" si="2"/>
        <v>27978</v>
      </c>
      <c r="AA34" s="564"/>
      <c r="AB34" s="506">
        <v>18000</v>
      </c>
      <c r="AC34" s="563">
        <f t="shared" si="3"/>
        <v>23778</v>
      </c>
      <c r="AD34" s="563"/>
      <c r="AE34" s="541">
        <f t="shared" si="4"/>
        <v>4200</v>
      </c>
      <c r="AF34" s="563"/>
      <c r="AG34" s="563">
        <f t="shared" si="5"/>
        <v>27978</v>
      </c>
      <c r="AH34" s="568"/>
      <c r="AI34" s="566">
        <f t="shared" si="6"/>
        <v>0.55433333333333334</v>
      </c>
    </row>
    <row r="35" spans="1:35" s="36" customFormat="1" x14ac:dyDescent="0.25">
      <c r="A35" s="36" t="s">
        <v>179</v>
      </c>
      <c r="C35" s="89"/>
      <c r="D35" s="289">
        <v>20320</v>
      </c>
      <c r="E35" s="515"/>
      <c r="F35" s="289">
        <v>5618</v>
      </c>
      <c r="G35" s="83"/>
      <c r="H35" s="563">
        <f t="shared" si="7"/>
        <v>25938</v>
      </c>
      <c r="I35" s="88"/>
      <c r="J35" s="506">
        <v>31931</v>
      </c>
      <c r="K35" s="506"/>
      <c r="L35" s="289">
        <v>8828</v>
      </c>
      <c r="M35" s="515"/>
      <c r="N35" s="563">
        <f t="shared" si="0"/>
        <v>40759</v>
      </c>
      <c r="O35" s="564"/>
      <c r="P35" s="506">
        <v>24190</v>
      </c>
      <c r="Q35" s="506"/>
      <c r="R35" s="289">
        <v>6688</v>
      </c>
      <c r="S35" s="515"/>
      <c r="T35" s="563">
        <f t="shared" si="1"/>
        <v>30878</v>
      </c>
      <c r="U35" s="564"/>
      <c r="V35" s="289">
        <v>20320</v>
      </c>
      <c r="W35" s="506"/>
      <c r="X35" s="289">
        <v>2809</v>
      </c>
      <c r="Y35" s="515"/>
      <c r="Z35" s="563">
        <f t="shared" si="2"/>
        <v>23129</v>
      </c>
      <c r="AA35" s="564"/>
      <c r="AB35" s="506">
        <v>120460</v>
      </c>
      <c r="AC35" s="563">
        <f t="shared" si="3"/>
        <v>96761</v>
      </c>
      <c r="AD35" s="563"/>
      <c r="AE35" s="541">
        <f t="shared" si="4"/>
        <v>23943</v>
      </c>
      <c r="AF35" s="563"/>
      <c r="AG35" s="563">
        <f t="shared" si="5"/>
        <v>120704</v>
      </c>
      <c r="AH35" s="568"/>
      <c r="AI35" s="566">
        <f t="shared" si="6"/>
        <v>2.0255686534949024E-3</v>
      </c>
    </row>
    <row r="36" spans="1:35" s="36" customFormat="1" x14ac:dyDescent="0.25">
      <c r="A36" s="36" t="s">
        <v>180</v>
      </c>
      <c r="C36" s="83"/>
      <c r="D36" s="289">
        <v>0</v>
      </c>
      <c r="E36" s="515"/>
      <c r="F36" s="289">
        <v>0</v>
      </c>
      <c r="G36" s="164"/>
      <c r="H36" s="541">
        <f t="shared" si="7"/>
        <v>0</v>
      </c>
      <c r="I36" s="88"/>
      <c r="J36" s="506">
        <v>0</v>
      </c>
      <c r="K36" s="506"/>
      <c r="L36" s="289">
        <v>0</v>
      </c>
      <c r="M36" s="289"/>
      <c r="N36" s="541">
        <f t="shared" si="0"/>
        <v>0</v>
      </c>
      <c r="O36" s="564"/>
      <c r="P36" s="506">
        <v>0</v>
      </c>
      <c r="Q36" s="506"/>
      <c r="R36" s="289">
        <v>0</v>
      </c>
      <c r="S36" s="289"/>
      <c r="T36" s="541">
        <f t="shared" si="1"/>
        <v>0</v>
      </c>
      <c r="U36" s="564"/>
      <c r="V36" s="289">
        <v>18530</v>
      </c>
      <c r="W36" s="506"/>
      <c r="X36" s="289">
        <v>1470</v>
      </c>
      <c r="Y36" s="515"/>
      <c r="Z36" s="563">
        <f t="shared" si="2"/>
        <v>20000</v>
      </c>
      <c r="AA36" s="564"/>
      <c r="AB36" s="506">
        <v>14130</v>
      </c>
      <c r="AC36" s="563">
        <f t="shared" si="3"/>
        <v>18530</v>
      </c>
      <c r="AD36" s="563"/>
      <c r="AE36" s="541">
        <f t="shared" si="4"/>
        <v>1470</v>
      </c>
      <c r="AF36" s="563"/>
      <c r="AG36" s="563">
        <f t="shared" si="5"/>
        <v>20000</v>
      </c>
      <c r="AH36" s="568"/>
      <c r="AI36" s="566">
        <f t="shared" si="6"/>
        <v>0.41542816702052376</v>
      </c>
    </row>
    <row r="37" spans="1:35" s="36" customFormat="1" x14ac:dyDescent="0.25">
      <c r="A37" s="36" t="s">
        <v>201</v>
      </c>
      <c r="C37" s="83"/>
      <c r="D37" s="289">
        <v>0</v>
      </c>
      <c r="E37" s="515"/>
      <c r="F37" s="289">
        <v>0</v>
      </c>
      <c r="G37" s="164"/>
      <c r="H37" s="541">
        <f t="shared" si="7"/>
        <v>0</v>
      </c>
      <c r="I37" s="88"/>
      <c r="J37" s="506">
        <v>0</v>
      </c>
      <c r="K37" s="506"/>
      <c r="L37" s="289">
        <v>0</v>
      </c>
      <c r="M37" s="289"/>
      <c r="N37" s="541">
        <f t="shared" si="0"/>
        <v>0</v>
      </c>
      <c r="O37" s="564"/>
      <c r="P37" s="506">
        <v>0</v>
      </c>
      <c r="Q37" s="506"/>
      <c r="R37" s="289">
        <v>0</v>
      </c>
      <c r="S37" s="289"/>
      <c r="T37" s="541">
        <f t="shared" si="1"/>
        <v>0</v>
      </c>
      <c r="U37" s="564"/>
      <c r="V37" s="289">
        <v>6422</v>
      </c>
      <c r="W37" s="506"/>
      <c r="X37" s="289">
        <v>265</v>
      </c>
      <c r="Y37" s="515"/>
      <c r="Z37" s="563">
        <f t="shared" si="2"/>
        <v>6687</v>
      </c>
      <c r="AA37" s="564"/>
      <c r="AB37" s="506">
        <v>6550</v>
      </c>
      <c r="AC37" s="563">
        <f t="shared" si="3"/>
        <v>6422</v>
      </c>
      <c r="AD37" s="563"/>
      <c r="AE37" s="541">
        <f t="shared" si="4"/>
        <v>265</v>
      </c>
      <c r="AF37" s="563"/>
      <c r="AG37" s="563">
        <f t="shared" si="5"/>
        <v>6687</v>
      </c>
      <c r="AH37" s="568"/>
      <c r="AI37" s="566">
        <f t="shared" si="6"/>
        <v>2.0916030534351204E-2</v>
      </c>
    </row>
    <row r="38" spans="1:35" s="36" customFormat="1" x14ac:dyDescent="0.25">
      <c r="A38" s="36" t="s">
        <v>5</v>
      </c>
      <c r="C38" s="83"/>
      <c r="D38" s="289">
        <v>19210</v>
      </c>
      <c r="E38" s="515"/>
      <c r="F38" s="289">
        <v>80</v>
      </c>
      <c r="G38" s="83"/>
      <c r="H38" s="563">
        <f t="shared" si="7"/>
        <v>19290</v>
      </c>
      <c r="I38" s="88"/>
      <c r="J38" s="506">
        <v>5546</v>
      </c>
      <c r="K38" s="506"/>
      <c r="L38" s="289">
        <v>500</v>
      </c>
      <c r="M38" s="515"/>
      <c r="N38" s="563">
        <f t="shared" si="0"/>
        <v>6046</v>
      </c>
      <c r="O38" s="564"/>
      <c r="P38" s="506">
        <v>6334</v>
      </c>
      <c r="Q38" s="506"/>
      <c r="R38" s="289">
        <v>1560</v>
      </c>
      <c r="S38" s="515"/>
      <c r="T38" s="563">
        <f t="shared" si="1"/>
        <v>7894</v>
      </c>
      <c r="U38" s="564"/>
      <c r="V38" s="289">
        <v>0</v>
      </c>
      <c r="W38" s="506"/>
      <c r="X38" s="289">
        <v>0</v>
      </c>
      <c r="Y38" s="515"/>
      <c r="Z38" s="563">
        <f t="shared" si="2"/>
        <v>0</v>
      </c>
      <c r="AA38" s="564"/>
      <c r="AB38" s="506">
        <v>33700</v>
      </c>
      <c r="AC38" s="563">
        <f t="shared" si="3"/>
        <v>31090</v>
      </c>
      <c r="AD38" s="563"/>
      <c r="AE38" s="541">
        <f t="shared" si="4"/>
        <v>2140</v>
      </c>
      <c r="AF38" s="563"/>
      <c r="AG38" s="563">
        <f t="shared" si="5"/>
        <v>33230</v>
      </c>
      <c r="AH38" s="568"/>
      <c r="AI38" s="566">
        <f t="shared" si="6"/>
        <v>-1.3946587537091992E-2</v>
      </c>
    </row>
    <row r="39" spans="1:35" s="36" customFormat="1" x14ac:dyDescent="0.25">
      <c r="A39" s="36" t="s">
        <v>194</v>
      </c>
      <c r="C39" s="83"/>
      <c r="D39" s="289">
        <v>7569</v>
      </c>
      <c r="E39" s="515"/>
      <c r="F39" s="289">
        <v>0</v>
      </c>
      <c r="G39" s="83"/>
      <c r="H39" s="563">
        <f t="shared" si="7"/>
        <v>7569</v>
      </c>
      <c r="I39" s="88"/>
      <c r="J39" s="506">
        <v>0</v>
      </c>
      <c r="K39" s="289"/>
      <c r="L39" s="289">
        <v>0</v>
      </c>
      <c r="M39" s="289"/>
      <c r="N39" s="541">
        <f t="shared" si="0"/>
        <v>0</v>
      </c>
      <c r="O39" s="564"/>
      <c r="P39" s="289">
        <f>14360-14360</f>
        <v>0</v>
      </c>
      <c r="Q39" s="506"/>
      <c r="R39" s="289">
        <v>0</v>
      </c>
      <c r="S39" s="289"/>
      <c r="T39" s="541">
        <f t="shared" si="1"/>
        <v>0</v>
      </c>
      <c r="U39" s="564"/>
      <c r="V39" s="289">
        <v>0</v>
      </c>
      <c r="W39" s="289"/>
      <c r="X39" s="289">
        <v>0</v>
      </c>
      <c r="Y39" s="289"/>
      <c r="Z39" s="541">
        <f t="shared" si="2"/>
        <v>0</v>
      </c>
      <c r="AA39" s="564"/>
      <c r="AB39" s="506">
        <v>1200</v>
      </c>
      <c r="AC39" s="541">
        <f t="shared" si="3"/>
        <v>7569</v>
      </c>
      <c r="AD39" s="563"/>
      <c r="AE39" s="541">
        <f t="shared" si="4"/>
        <v>0</v>
      </c>
      <c r="AF39" s="563"/>
      <c r="AG39" s="563">
        <f t="shared" si="5"/>
        <v>7569</v>
      </c>
      <c r="AH39" s="568"/>
      <c r="AI39" s="566">
        <f t="shared" si="6"/>
        <v>5.3075000000000001</v>
      </c>
    </row>
    <row r="40" spans="1:35" s="36" customFormat="1" x14ac:dyDescent="0.25">
      <c r="A40" s="36" t="s">
        <v>276</v>
      </c>
      <c r="C40" s="83"/>
      <c r="D40" s="289">
        <v>0</v>
      </c>
      <c r="E40" s="515"/>
      <c r="F40" s="289">
        <v>2000</v>
      </c>
      <c r="G40" s="66"/>
      <c r="H40" s="541">
        <f t="shared" si="7"/>
        <v>2000</v>
      </c>
      <c r="I40" s="88"/>
      <c r="J40" s="506">
        <v>0</v>
      </c>
      <c r="K40" s="506"/>
      <c r="L40" s="289">
        <v>2000</v>
      </c>
      <c r="M40" s="289"/>
      <c r="N40" s="541">
        <f t="shared" si="0"/>
        <v>2000</v>
      </c>
      <c r="O40" s="564"/>
      <c r="P40" s="506">
        <v>0</v>
      </c>
      <c r="Q40" s="506"/>
      <c r="R40" s="289">
        <v>1000</v>
      </c>
      <c r="S40" s="506"/>
      <c r="T40" s="563">
        <f t="shared" si="1"/>
        <v>1000</v>
      </c>
      <c r="U40" s="564"/>
      <c r="V40" s="506">
        <v>0</v>
      </c>
      <c r="W40" s="289"/>
      <c r="X40" s="289">
        <v>0</v>
      </c>
      <c r="Y40" s="289"/>
      <c r="Z40" s="541">
        <f t="shared" si="2"/>
        <v>0</v>
      </c>
      <c r="AA40" s="564"/>
      <c r="AB40" s="506">
        <v>2500</v>
      </c>
      <c r="AC40" s="541">
        <f t="shared" si="3"/>
        <v>0</v>
      </c>
      <c r="AD40" s="563"/>
      <c r="AE40" s="541">
        <f t="shared" si="4"/>
        <v>5000</v>
      </c>
      <c r="AF40" s="563"/>
      <c r="AG40" s="563">
        <f t="shared" si="5"/>
        <v>5000</v>
      </c>
      <c r="AH40" s="568"/>
      <c r="AI40" s="566">
        <f t="shared" si="6"/>
        <v>1</v>
      </c>
    </row>
    <row r="41" spans="1:35" s="36" customFormat="1" x14ac:dyDescent="0.25">
      <c r="A41" s="36" t="s">
        <v>181</v>
      </c>
      <c r="C41" s="83"/>
      <c r="D41" s="289">
        <v>13583</v>
      </c>
      <c r="E41" s="515"/>
      <c r="F41" s="289">
        <f>2717-1900</f>
        <v>817</v>
      </c>
      <c r="G41" s="83"/>
      <c r="H41" s="563">
        <f t="shared" si="7"/>
        <v>14400</v>
      </c>
      <c r="I41" s="88"/>
      <c r="J41" s="506">
        <v>49583</v>
      </c>
      <c r="K41" s="506"/>
      <c r="L41" s="289">
        <f>9917+21500</f>
        <v>31417</v>
      </c>
      <c r="M41" s="515"/>
      <c r="N41" s="563">
        <f t="shared" si="0"/>
        <v>81000</v>
      </c>
      <c r="O41" s="564"/>
      <c r="P41" s="506">
        <v>85167</v>
      </c>
      <c r="Q41" s="506"/>
      <c r="R41" s="289">
        <f>17033-600</f>
        <v>16433</v>
      </c>
      <c r="S41" s="515"/>
      <c r="T41" s="541">
        <f t="shared" si="1"/>
        <v>101600</v>
      </c>
      <c r="U41" s="564"/>
      <c r="V41" s="289">
        <v>0</v>
      </c>
      <c r="W41" s="289"/>
      <c r="X41" s="289">
        <v>0</v>
      </c>
      <c r="Y41" s="289"/>
      <c r="Z41" s="541">
        <f t="shared" si="2"/>
        <v>0</v>
      </c>
      <c r="AA41" s="564"/>
      <c r="AB41" s="506">
        <v>189000</v>
      </c>
      <c r="AC41" s="563">
        <f t="shared" si="3"/>
        <v>148333</v>
      </c>
      <c r="AD41" s="563"/>
      <c r="AE41" s="541">
        <f t="shared" si="4"/>
        <v>48667</v>
      </c>
      <c r="AF41" s="563"/>
      <c r="AG41" s="563">
        <f t="shared" si="5"/>
        <v>197000</v>
      </c>
      <c r="AH41" s="568"/>
      <c r="AI41" s="566">
        <f t="shared" si="6"/>
        <v>4.2328042328042326E-2</v>
      </c>
    </row>
    <row r="42" spans="1:35" ht="18" x14ac:dyDescent="0.4">
      <c r="A42" s="1" t="s">
        <v>195</v>
      </c>
      <c r="C42" s="89"/>
      <c r="D42" s="461">
        <v>29065</v>
      </c>
      <c r="E42" s="486"/>
      <c r="F42" s="496">
        <v>4597</v>
      </c>
      <c r="G42" s="92"/>
      <c r="H42" s="462">
        <f t="shared" si="7"/>
        <v>33662</v>
      </c>
      <c r="I42" s="93"/>
      <c r="J42" s="461">
        <v>58128</v>
      </c>
      <c r="K42" s="289"/>
      <c r="L42" s="496">
        <v>9195</v>
      </c>
      <c r="M42" s="486"/>
      <c r="N42" s="462">
        <f t="shared" si="0"/>
        <v>67323</v>
      </c>
      <c r="O42" s="564"/>
      <c r="P42" s="461">
        <v>29065</v>
      </c>
      <c r="Q42" s="289"/>
      <c r="R42" s="496">
        <v>4597</v>
      </c>
      <c r="S42" s="486"/>
      <c r="T42" s="462">
        <f t="shared" si="1"/>
        <v>33662</v>
      </c>
      <c r="U42" s="564"/>
      <c r="V42" s="461">
        <f>-D42-J42-P42</f>
        <v>-116258</v>
      </c>
      <c r="W42" s="289"/>
      <c r="X42" s="461">
        <f>-F42-L42-R42</f>
        <v>-18389</v>
      </c>
      <c r="Y42" s="486"/>
      <c r="Z42" s="462">
        <f t="shared" si="2"/>
        <v>-134647</v>
      </c>
      <c r="AA42" s="564"/>
      <c r="AB42" s="461">
        <v>0</v>
      </c>
      <c r="AC42" s="462">
        <f t="shared" ref="AC42" si="8">D42+J42+P42+V42</f>
        <v>0</v>
      </c>
      <c r="AD42" s="462"/>
      <c r="AE42" s="462">
        <f t="shared" ref="AE42" si="9">F42+L42+R42+X42</f>
        <v>0</v>
      </c>
      <c r="AF42" s="563"/>
      <c r="AG42" s="462">
        <f t="shared" ref="AG42" si="10">H42+N42+T42+Z42</f>
        <v>0</v>
      </c>
      <c r="AH42" s="438"/>
      <c r="AI42" s="567">
        <v>0</v>
      </c>
    </row>
    <row r="43" spans="1:35" ht="18" x14ac:dyDescent="0.4">
      <c r="A43" s="1" t="s">
        <v>182</v>
      </c>
      <c r="C43" s="75"/>
      <c r="D43" s="461">
        <f>SUM(D21:D42)</f>
        <v>188626</v>
      </c>
      <c r="E43" s="486"/>
      <c r="F43" s="461">
        <f>SUM(F21:F42)</f>
        <v>34003</v>
      </c>
      <c r="G43" s="75"/>
      <c r="H43" s="462">
        <f>SUM(H21:H42)</f>
        <v>222629</v>
      </c>
      <c r="I43" s="88"/>
      <c r="J43" s="461">
        <f>SUM(J21:J42)</f>
        <v>420784</v>
      </c>
      <c r="K43" s="289"/>
      <c r="L43" s="461">
        <f>SUM(L21:L42)</f>
        <v>90512</v>
      </c>
      <c r="M43" s="486"/>
      <c r="N43" s="462">
        <f>SUM(N21:N42)</f>
        <v>511296</v>
      </c>
      <c r="O43" s="564"/>
      <c r="P43" s="461">
        <f>SUM(P21:P42)</f>
        <v>308329</v>
      </c>
      <c r="Q43" s="289"/>
      <c r="R43" s="461">
        <f>SUM(R21:R42)</f>
        <v>48531</v>
      </c>
      <c r="S43" s="486"/>
      <c r="T43" s="462">
        <f>SUM(T21:T42)</f>
        <v>356860</v>
      </c>
      <c r="U43" s="564"/>
      <c r="V43" s="461">
        <f>SUM(V21:V42)</f>
        <v>0</v>
      </c>
      <c r="W43" s="461"/>
      <c r="X43" s="461">
        <f>SUM(X21:X42)</f>
        <v>0</v>
      </c>
      <c r="Y43" s="461"/>
      <c r="Z43" s="462">
        <f>SUM(Z21:Z42)</f>
        <v>0</v>
      </c>
      <c r="AA43" s="564"/>
      <c r="AB43" s="462">
        <f>SUM(AB21:AB42)</f>
        <v>1038025</v>
      </c>
      <c r="AC43" s="462">
        <f>SUM(AC21:AC42)</f>
        <v>917739</v>
      </c>
      <c r="AD43" s="541"/>
      <c r="AE43" s="462">
        <f>SUM(AE21:AE42)</f>
        <v>173046</v>
      </c>
      <c r="AF43" s="541"/>
      <c r="AG43" s="462">
        <f>SUM(AG21:AG42)</f>
        <v>1090785</v>
      </c>
      <c r="AH43" s="438"/>
      <c r="AI43" s="567">
        <f t="shared" si="6"/>
        <v>5.0827292213578623E-2</v>
      </c>
    </row>
    <row r="44" spans="1:35" x14ac:dyDescent="0.25">
      <c r="C44" s="75"/>
      <c r="D44" s="289"/>
      <c r="E44" s="486"/>
      <c r="F44" s="289"/>
      <c r="G44" s="75"/>
      <c r="H44" s="435"/>
      <c r="I44" s="77"/>
      <c r="J44" s="289"/>
      <c r="K44" s="486"/>
      <c r="L44" s="289"/>
      <c r="M44" s="486"/>
      <c r="N44" s="541"/>
      <c r="O44" s="565"/>
      <c r="P44" s="289"/>
      <c r="Q44" s="486"/>
      <c r="R44" s="289"/>
      <c r="S44" s="486"/>
      <c r="T44" s="541"/>
      <c r="U44" s="565"/>
      <c r="V44" s="289"/>
      <c r="W44" s="486"/>
      <c r="X44" s="289"/>
      <c r="Y44" s="486"/>
      <c r="Z44" s="541"/>
      <c r="AA44" s="565"/>
      <c r="AB44" s="515"/>
      <c r="AC44" s="541"/>
      <c r="AD44" s="509"/>
      <c r="AE44" s="541"/>
      <c r="AF44" s="509"/>
      <c r="AG44" s="541"/>
      <c r="AH44" s="427"/>
      <c r="AI44" s="427"/>
    </row>
    <row r="45" spans="1:35" ht="18" x14ac:dyDescent="0.4">
      <c r="A45" s="2" t="s">
        <v>196</v>
      </c>
      <c r="C45" s="75"/>
      <c r="D45" s="505">
        <f>D18-D43</f>
        <v>11644</v>
      </c>
      <c r="E45" s="289"/>
      <c r="F45" s="505">
        <f>F18-F43</f>
        <v>-3817</v>
      </c>
      <c r="G45" s="75"/>
      <c r="H45" s="444">
        <f>H18-H43</f>
        <v>7827</v>
      </c>
      <c r="I45" s="86"/>
      <c r="J45" s="505">
        <f>J18-J43</f>
        <v>46254</v>
      </c>
      <c r="K45" s="289"/>
      <c r="L45" s="505">
        <f>L18-L43</f>
        <v>22241</v>
      </c>
      <c r="M45" s="486"/>
      <c r="N45" s="463">
        <f>N18-N43</f>
        <v>68495</v>
      </c>
      <c r="O45" s="564"/>
      <c r="P45" s="505">
        <f>P18-P43</f>
        <v>-67180</v>
      </c>
      <c r="Q45" s="289"/>
      <c r="R45" s="505">
        <f>R18-R43</f>
        <v>6342</v>
      </c>
      <c r="S45" s="486"/>
      <c r="T45" s="463">
        <f>T18-T43</f>
        <v>-60838</v>
      </c>
      <c r="U45" s="564"/>
      <c r="V45" s="505">
        <f>V18-V43</f>
        <v>0</v>
      </c>
      <c r="W45" s="289"/>
      <c r="X45" s="505">
        <f>X18-X43</f>
        <v>0</v>
      </c>
      <c r="Y45" s="486"/>
      <c r="Z45" s="463">
        <f>Z18-Z43</f>
        <v>0</v>
      </c>
      <c r="AA45" s="564"/>
      <c r="AB45" s="463">
        <f>AB18-AB43</f>
        <v>110575</v>
      </c>
      <c r="AC45" s="463">
        <f>AC18-AC43</f>
        <v>-9282</v>
      </c>
      <c r="AD45" s="541"/>
      <c r="AE45" s="463">
        <f>AE18-AE43</f>
        <v>24766</v>
      </c>
      <c r="AF45" s="509"/>
      <c r="AG45" s="463">
        <f>AG18-AG43</f>
        <v>15484</v>
      </c>
      <c r="AH45" s="427"/>
      <c r="AI45" s="571">
        <f>+AG45/AB45-1</f>
        <v>-0.85996834727560478</v>
      </c>
    </row>
    <row r="46" spans="1:35" ht="18" x14ac:dyDescent="0.4">
      <c r="A46" s="2"/>
      <c r="C46" s="75"/>
      <c r="D46" s="133"/>
      <c r="E46" s="85"/>
      <c r="F46" s="133"/>
      <c r="G46" s="75"/>
      <c r="H46" s="444"/>
      <c r="I46" s="168"/>
      <c r="J46" s="133"/>
      <c r="K46" s="85"/>
      <c r="L46" s="133"/>
      <c r="M46" s="75"/>
      <c r="N46" s="444"/>
      <c r="O46" s="168"/>
      <c r="P46" s="133"/>
      <c r="Q46" s="85"/>
      <c r="R46" s="133"/>
      <c r="S46" s="75"/>
      <c r="T46" s="133"/>
      <c r="U46" s="168"/>
      <c r="V46" s="256"/>
      <c r="W46" s="85"/>
      <c r="X46" s="256"/>
      <c r="Y46" s="75"/>
      <c r="Z46" s="256"/>
      <c r="AA46" s="168"/>
      <c r="AB46" s="133"/>
      <c r="AC46" s="133"/>
      <c r="AD46" s="85"/>
      <c r="AE46" s="133"/>
      <c r="AF46" s="75"/>
      <c r="AG46" s="133"/>
      <c r="AI46" s="220"/>
    </row>
    <row r="47" spans="1:35" ht="18" x14ac:dyDescent="0.4">
      <c r="A47" s="2"/>
      <c r="C47" s="75"/>
      <c r="D47" s="101">
        <f>D25/D15</f>
        <v>0.15395383916026117</v>
      </c>
      <c r="E47" s="101"/>
      <c r="F47" s="101">
        <f>F25/F15</f>
        <v>0.3669840696782346</v>
      </c>
      <c r="G47" s="101"/>
      <c r="H47" s="101">
        <f>H25/H15</f>
        <v>0.17583421014818557</v>
      </c>
      <c r="I47" s="168"/>
      <c r="J47" s="133">
        <f>[5]Sheet1!$L$23</f>
        <v>0</v>
      </c>
      <c r="K47" s="85"/>
      <c r="L47" s="133"/>
      <c r="M47" s="75"/>
      <c r="N47" s="133"/>
      <c r="O47" s="168"/>
      <c r="P47" s="133"/>
      <c r="Q47" s="85"/>
      <c r="R47" s="133"/>
      <c r="S47" s="75"/>
      <c r="T47" s="133"/>
      <c r="U47" s="168"/>
      <c r="V47" s="133"/>
      <c r="W47" s="85"/>
      <c r="X47" s="133"/>
      <c r="Y47" s="75"/>
      <c r="Z47" s="133"/>
      <c r="AA47" s="168"/>
      <c r="AB47" s="101">
        <f>AB25/270500</f>
        <v>0.28502772643253232</v>
      </c>
      <c r="AC47" s="133"/>
      <c r="AD47" s="85"/>
      <c r="AE47" s="133"/>
      <c r="AF47" s="75"/>
      <c r="AG47" s="133"/>
    </row>
    <row r="48" spans="1:35" ht="18.75" thickBot="1" x14ac:dyDescent="0.45">
      <c r="A48" s="2"/>
      <c r="C48" s="75"/>
      <c r="D48" s="101"/>
      <c r="E48" s="101"/>
      <c r="F48" s="101"/>
      <c r="G48" s="101"/>
      <c r="H48" s="101"/>
      <c r="I48" s="168"/>
      <c r="J48" s="133"/>
      <c r="K48" s="85"/>
      <c r="L48" s="133"/>
      <c r="M48" s="75"/>
      <c r="N48" s="133"/>
      <c r="O48" s="168"/>
      <c r="P48" s="133"/>
      <c r="Q48" s="85"/>
      <c r="R48" s="133"/>
      <c r="S48" s="75"/>
      <c r="T48" s="133"/>
      <c r="U48" s="168"/>
      <c r="V48" s="133"/>
      <c r="W48" s="85"/>
      <c r="X48" s="133"/>
      <c r="Y48" s="75"/>
      <c r="Z48" s="133"/>
      <c r="AA48" s="168"/>
      <c r="AB48" s="168"/>
      <c r="AC48" s="133"/>
      <c r="AD48" s="85"/>
      <c r="AE48" s="133"/>
      <c r="AF48" s="75"/>
      <c r="AG48" s="133"/>
    </row>
    <row r="49" spans="1:33" ht="19.5" thickBot="1" x14ac:dyDescent="0.35">
      <c r="A49" s="95" t="s">
        <v>208</v>
      </c>
      <c r="B49" s="75"/>
      <c r="C49" s="75"/>
      <c r="D49" s="96" t="s">
        <v>205</v>
      </c>
      <c r="E49" s="97"/>
      <c r="F49" s="96"/>
      <c r="G49" s="97"/>
      <c r="AB49" s="92"/>
      <c r="AG49" s="21">
        <f>AG43-AB43</f>
        <v>52760</v>
      </c>
    </row>
    <row r="50" spans="1:33" ht="18" x14ac:dyDescent="0.4">
      <c r="A50" s="75"/>
      <c r="B50" s="75"/>
      <c r="C50" s="98"/>
      <c r="D50" s="99" t="s">
        <v>361</v>
      </c>
      <c r="E50" s="100"/>
      <c r="F50" s="99" t="s">
        <v>206</v>
      </c>
      <c r="G50" s="100"/>
    </row>
    <row r="51" spans="1:33" ht="20.25" x14ac:dyDescent="0.4">
      <c r="A51" s="75" t="s">
        <v>337</v>
      </c>
      <c r="B51" s="75"/>
      <c r="C51" s="75"/>
      <c r="D51" s="76"/>
      <c r="E51" s="75"/>
      <c r="F51" s="121" t="s">
        <v>208</v>
      </c>
      <c r="G51" s="75"/>
      <c r="J51" s="266">
        <v>116258</v>
      </c>
      <c r="K51" s="266"/>
      <c r="L51" s="266">
        <v>18389</v>
      </c>
      <c r="N51" s="21">
        <f>L51+1470</f>
        <v>19859</v>
      </c>
      <c r="AG51" s="21">
        <f>AG34-AB34</f>
        <v>9978</v>
      </c>
    </row>
    <row r="52" spans="1:33" ht="18.75" x14ac:dyDescent="0.3">
      <c r="A52" s="75" t="s">
        <v>338</v>
      </c>
      <c r="B52" s="75"/>
      <c r="C52" s="75"/>
      <c r="D52" s="76"/>
      <c r="E52" s="75"/>
      <c r="F52" s="121"/>
      <c r="G52" s="75"/>
    </row>
    <row r="53" spans="1:33" x14ac:dyDescent="0.25">
      <c r="A53" s="75" t="s">
        <v>339</v>
      </c>
      <c r="B53" s="75"/>
      <c r="C53" s="92"/>
      <c r="D53" s="101">
        <f>H18/AG18</f>
        <v>0.20831823001458055</v>
      </c>
      <c r="E53" s="102"/>
      <c r="F53" s="101">
        <v>0.25</v>
      </c>
      <c r="G53" s="102"/>
      <c r="J53" s="21">
        <f>J51*F53</f>
        <v>29064.5</v>
      </c>
      <c r="L53" s="21">
        <f>L51*F53</f>
        <v>4597.25</v>
      </c>
      <c r="T53" s="378"/>
    </row>
    <row r="54" spans="1:33" x14ac:dyDescent="0.25">
      <c r="A54" s="75" t="s">
        <v>340</v>
      </c>
      <c r="B54" s="75"/>
      <c r="C54" s="92"/>
      <c r="D54" s="101">
        <f>N18/AG18</f>
        <v>0.52409585733668751</v>
      </c>
      <c r="E54" s="102"/>
      <c r="F54" s="101">
        <v>0.5</v>
      </c>
      <c r="G54" s="102"/>
      <c r="J54" s="21">
        <f>J51*F54+0.05</f>
        <v>58129.05</v>
      </c>
      <c r="L54" s="21">
        <f>L51*F54</f>
        <v>9194.5</v>
      </c>
      <c r="T54" s="378"/>
    </row>
    <row r="55" spans="1:33" ht="18" x14ac:dyDescent="0.4">
      <c r="A55" s="75" t="s">
        <v>341</v>
      </c>
      <c r="B55" s="75"/>
      <c r="C55" s="103"/>
      <c r="D55" s="104">
        <f>T18/AG18</f>
        <v>0.26758591264873188</v>
      </c>
      <c r="E55" s="105"/>
      <c r="F55" s="104">
        <v>0.25</v>
      </c>
      <c r="G55" s="102"/>
      <c r="J55" s="176">
        <f>J51*F55</f>
        <v>29064.5</v>
      </c>
      <c r="K55" s="135"/>
      <c r="L55" s="176">
        <f>L51*F55</f>
        <v>4597.25</v>
      </c>
      <c r="T55" s="378"/>
    </row>
    <row r="56" spans="1:33" ht="18" x14ac:dyDescent="0.4">
      <c r="A56" s="75" t="s">
        <v>342</v>
      </c>
      <c r="B56" s="75"/>
      <c r="C56" s="106"/>
      <c r="D56" s="107">
        <f>SUM(D53:D55)</f>
        <v>1</v>
      </c>
      <c r="E56" s="108"/>
      <c r="F56" s="107">
        <f>SUM(F53:F55)</f>
        <v>1</v>
      </c>
      <c r="G56" s="102"/>
      <c r="J56" s="266">
        <f>SUM(J53:J55)</f>
        <v>116258.05</v>
      </c>
      <c r="K56" s="266"/>
      <c r="L56" s="266">
        <f>SUM(L53:L55)</f>
        <v>18389</v>
      </c>
      <c r="T56" s="378"/>
    </row>
    <row r="57" spans="1:33" x14ac:dyDescent="0.25">
      <c r="D57" s="60"/>
      <c r="E57" s="61"/>
      <c r="F57" s="60"/>
      <c r="G57" s="62"/>
      <c r="T57" s="378"/>
    </row>
    <row r="58" spans="1:33" x14ac:dyDescent="0.25">
      <c r="D58" s="101"/>
    </row>
    <row r="59" spans="1:33" x14ac:dyDescent="0.25">
      <c r="D59" s="101"/>
    </row>
    <row r="60" spans="1:33" x14ac:dyDescent="0.25">
      <c r="D60" s="101"/>
    </row>
    <row r="61" spans="1:33" x14ac:dyDescent="0.25">
      <c r="D61" s="101"/>
    </row>
  </sheetData>
  <mergeCells count="8">
    <mergeCell ref="A2:AI2"/>
    <mergeCell ref="A3:AI3"/>
    <mergeCell ref="A4:AI4"/>
    <mergeCell ref="J8:N8"/>
    <mergeCell ref="P8:T8"/>
    <mergeCell ref="V8:Z8"/>
    <mergeCell ref="D8:H8"/>
    <mergeCell ref="AB8:AI8"/>
  </mergeCells>
  <phoneticPr fontId="0" type="noConversion"/>
  <printOptions horizontalCentered="1"/>
  <pageMargins left="0" right="0" top="1" bottom="0.25" header="0.25" footer="0"/>
  <pageSetup scale="58" orientation="landscape" r:id="rId1"/>
  <headerFooter alignWithMargins="0">
    <oddFooter>&amp;L&amp;"Times New Roman,Regular"&amp;9&amp;D&amp;C&amp;"Times New Roman,Regular"&amp;9&amp;Z&amp;F&amp;R&amp;"Times New Roman,Regular"&amp;9&amp;A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
  <dimension ref="A16:N29"/>
  <sheetViews>
    <sheetView showGridLines="0" view="pageBreakPreview" topLeftCell="A22" zoomScaleNormal="100" workbookViewId="0">
      <selection activeCell="A30" sqref="A30"/>
    </sheetView>
  </sheetViews>
  <sheetFormatPr defaultColWidth="9.77734375" defaultRowHeight="15.75" x14ac:dyDescent="0.25"/>
  <cols>
    <col min="1" max="1" width="9.77734375" style="1"/>
    <col min="2" max="2" width="47.77734375" style="1" customWidth="1"/>
    <col min="3" max="3" width="9.77734375" style="1"/>
    <col min="4" max="6" width="12.77734375" style="1" customWidth="1"/>
    <col min="7" max="8" width="9.77734375" style="1"/>
    <col min="9" max="9" width="8.77734375" style="1" customWidth="1"/>
    <col min="10" max="10" width="9.77734375" style="1"/>
    <col min="11" max="11" width="10.77734375" style="1" customWidth="1"/>
    <col min="12" max="16384" width="9.77734375" style="1"/>
  </cols>
  <sheetData>
    <row r="16" spans="1:4" ht="22.5" x14ac:dyDescent="0.3">
      <c r="A16" s="613" t="s">
        <v>45</v>
      </c>
      <c r="B16" s="613"/>
      <c r="C16" s="613"/>
      <c r="D16" s="17"/>
    </row>
    <row r="17" spans="1:14" ht="22.5" x14ac:dyDescent="0.3">
      <c r="A17" s="16"/>
      <c r="B17" s="17"/>
      <c r="C17" s="17"/>
      <c r="D17" s="17"/>
    </row>
    <row r="18" spans="1:14" ht="22.5" x14ac:dyDescent="0.3">
      <c r="A18" s="16"/>
      <c r="B18" s="17"/>
      <c r="C18" s="17"/>
      <c r="D18" s="17"/>
    </row>
    <row r="19" spans="1:14" ht="22.5" x14ac:dyDescent="0.3">
      <c r="A19" s="16"/>
      <c r="B19" s="17"/>
      <c r="C19" s="17"/>
      <c r="D19" s="17"/>
    </row>
    <row r="20" spans="1:14" ht="22.5" x14ac:dyDescent="0.3">
      <c r="A20" s="613" t="s">
        <v>197</v>
      </c>
      <c r="B20" s="613"/>
      <c r="C20" s="613"/>
      <c r="D20" s="17"/>
    </row>
    <row r="21" spans="1:14" ht="15" customHeight="1" x14ac:dyDescent="0.3">
      <c r="A21" s="16"/>
      <c r="B21" s="17"/>
      <c r="C21" s="17"/>
      <c r="D21" s="17"/>
    </row>
    <row r="22" spans="1:14" ht="22.5" x14ac:dyDescent="0.3">
      <c r="A22" s="613" t="s">
        <v>514</v>
      </c>
      <c r="B22" s="613"/>
      <c r="C22" s="613"/>
      <c r="D22" s="17"/>
    </row>
    <row r="23" spans="1:14" ht="12.75" customHeight="1" x14ac:dyDescent="0.3">
      <c r="A23" s="613"/>
      <c r="B23" s="613"/>
      <c r="C23" s="613"/>
      <c r="D23" s="17"/>
    </row>
    <row r="24" spans="1:14" x14ac:dyDescent="0.25">
      <c r="A24" s="18"/>
      <c r="B24" s="17"/>
      <c r="C24" s="17"/>
      <c r="D24" s="17"/>
    </row>
    <row r="25" spans="1:14" ht="20.25" x14ac:dyDescent="0.3">
      <c r="A25" s="614" t="s">
        <v>198</v>
      </c>
      <c r="B25" s="614"/>
      <c r="C25" s="614"/>
      <c r="D25" s="17"/>
    </row>
    <row r="26" spans="1:14" x14ac:dyDescent="0.25">
      <c r="A26" s="17"/>
      <c r="B26" s="17"/>
      <c r="C26" s="17"/>
      <c r="D26" s="17"/>
    </row>
    <row r="27" spans="1:14" ht="22.5" x14ac:dyDescent="0.3">
      <c r="A27" s="613" t="s">
        <v>199</v>
      </c>
      <c r="B27" s="613"/>
      <c r="C27" s="613"/>
      <c r="D27" s="17"/>
    </row>
    <row r="28" spans="1:14" ht="15" customHeight="1" x14ac:dyDescent="0.25">
      <c r="A28" s="17"/>
      <c r="B28" s="17"/>
      <c r="C28" s="17"/>
      <c r="D28" s="17"/>
    </row>
    <row r="29" spans="1:14" ht="22.5" x14ac:dyDescent="0.3">
      <c r="A29" s="613" t="s">
        <v>539</v>
      </c>
      <c r="B29" s="613"/>
      <c r="C29" s="613"/>
      <c r="D29" s="17"/>
      <c r="N29" s="1" t="s">
        <v>19</v>
      </c>
    </row>
  </sheetData>
  <mergeCells count="7">
    <mergeCell ref="A29:C29"/>
    <mergeCell ref="A16:C16"/>
    <mergeCell ref="A20:C20"/>
    <mergeCell ref="A22:C22"/>
    <mergeCell ref="A23:C23"/>
    <mergeCell ref="A25:C25"/>
    <mergeCell ref="A27:C27"/>
  </mergeCells>
  <phoneticPr fontId="0" type="noConversion"/>
  <printOptions horizontalCentered="1"/>
  <pageMargins left="0.5" right="0.1" top="0.5" bottom="0.25" header="0.25" footer="0"/>
  <pageSetup scale="80" orientation="portrait" r:id="rId1"/>
  <headerFooter alignWithMargins="0">
    <oddFooter>&amp;L&amp;"Times New Roman,Regular"&amp;9&amp;D &amp;C&amp;"Times New Roman,Regular"&amp;9&amp;Z&amp;F&amp;R&amp;"Times New Roman,Regular"&amp;9&amp;A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4"/>
  <dimension ref="A1:AV1502"/>
  <sheetViews>
    <sheetView showGridLines="0" view="pageBreakPreview" topLeftCell="A13" zoomScaleNormal="100" zoomScaleSheetLayoutView="100" workbookViewId="0">
      <selection activeCell="M27" sqref="M27"/>
    </sheetView>
  </sheetViews>
  <sheetFormatPr defaultColWidth="9.77734375" defaultRowHeight="15.75" x14ac:dyDescent="0.25"/>
  <cols>
    <col min="1" max="2" width="5.77734375" style="1" customWidth="1"/>
    <col min="3" max="3" width="9.6640625" style="1" customWidth="1"/>
    <col min="4" max="4" width="11.33203125" style="1" customWidth="1"/>
    <col min="5" max="6" width="12.77734375" style="1" customWidth="1"/>
    <col min="7" max="7" width="2.109375" style="1" customWidth="1"/>
    <col min="8" max="8" width="8.33203125" style="1" customWidth="1"/>
    <col min="9" max="10" width="9.77734375" style="1"/>
    <col min="11" max="11" width="8.77734375" style="1" customWidth="1"/>
    <col min="12" max="12" width="9.77734375" style="1"/>
    <col min="13" max="13" width="10.77734375" style="1" customWidth="1"/>
    <col min="14" max="29" width="9.77734375" style="1"/>
    <col min="30" max="30" width="2.77734375" style="1" customWidth="1"/>
    <col min="31" max="33" width="9.77734375" style="1"/>
    <col min="34" max="34" width="2.77734375" style="1" customWidth="1"/>
    <col min="35" max="16384" width="9.77734375" style="1"/>
  </cols>
  <sheetData>
    <row r="1" spans="1:8" x14ac:dyDescent="0.25">
      <c r="A1" s="615" t="s">
        <v>45</v>
      </c>
      <c r="B1" s="615"/>
      <c r="C1" s="615"/>
      <c r="D1" s="615"/>
      <c r="E1" s="615"/>
      <c r="F1" s="615"/>
      <c r="G1" s="615"/>
      <c r="H1" s="615"/>
    </row>
    <row r="2" spans="1:8" x14ac:dyDescent="0.25">
      <c r="A2" s="615" t="s">
        <v>20</v>
      </c>
      <c r="B2" s="615"/>
      <c r="C2" s="615"/>
      <c r="D2" s="615"/>
      <c r="E2" s="615"/>
      <c r="F2" s="615"/>
      <c r="G2" s="615"/>
      <c r="H2" s="615"/>
    </row>
    <row r="3" spans="1:8" x14ac:dyDescent="0.25">
      <c r="A3" s="615" t="s">
        <v>505</v>
      </c>
      <c r="B3" s="615"/>
      <c r="C3" s="615"/>
      <c r="D3" s="615"/>
      <c r="E3" s="615"/>
      <c r="F3" s="615"/>
      <c r="G3" s="615"/>
      <c r="H3" s="615"/>
    </row>
    <row r="6" spans="1:8" x14ac:dyDescent="0.25">
      <c r="A6" s="615" t="s">
        <v>315</v>
      </c>
      <c r="B6" s="615"/>
      <c r="C6" s="615"/>
      <c r="D6" s="615"/>
      <c r="E6" s="615"/>
      <c r="F6" s="615"/>
      <c r="G6" s="615"/>
      <c r="H6" s="615"/>
    </row>
    <row r="8" spans="1:8" x14ac:dyDescent="0.25">
      <c r="H8" s="6" t="s">
        <v>21</v>
      </c>
    </row>
    <row r="10" spans="1:8" x14ac:dyDescent="0.25">
      <c r="A10" s="1" t="s">
        <v>22</v>
      </c>
      <c r="H10" s="6" t="s">
        <v>23</v>
      </c>
    </row>
    <row r="12" spans="1:8" x14ac:dyDescent="0.25">
      <c r="A12" s="1" t="s">
        <v>24</v>
      </c>
      <c r="H12" s="6" t="s">
        <v>25</v>
      </c>
    </row>
    <row r="14" spans="1:8" x14ac:dyDescent="0.25">
      <c r="A14" s="1" t="s">
        <v>26</v>
      </c>
      <c r="H14" s="6" t="s">
        <v>27</v>
      </c>
    </row>
    <row r="16" spans="1:8" x14ac:dyDescent="0.25">
      <c r="A16" s="1" t="s">
        <v>28</v>
      </c>
    </row>
    <row r="17" spans="1:14" x14ac:dyDescent="0.25">
      <c r="A17" s="1" t="s">
        <v>29</v>
      </c>
      <c r="H17" s="6" t="s">
        <v>30</v>
      </c>
    </row>
    <row r="18" spans="1:14" x14ac:dyDescent="0.25">
      <c r="A18" s="1" t="s">
        <v>31</v>
      </c>
      <c r="H18" s="6" t="s">
        <v>32</v>
      </c>
    </row>
    <row r="19" spans="1:14" x14ac:dyDescent="0.25">
      <c r="A19" s="1" t="s">
        <v>33</v>
      </c>
      <c r="H19" s="6" t="s">
        <v>34</v>
      </c>
    </row>
    <row r="21" spans="1:14" x14ac:dyDescent="0.25">
      <c r="A21" s="1" t="s">
        <v>516</v>
      </c>
    </row>
    <row r="22" spans="1:14" x14ac:dyDescent="0.25">
      <c r="A22" s="1" t="s">
        <v>35</v>
      </c>
    </row>
    <row r="23" spans="1:14" x14ac:dyDescent="0.25">
      <c r="A23" s="1" t="s">
        <v>36</v>
      </c>
      <c r="H23" s="6" t="s">
        <v>37</v>
      </c>
    </row>
    <row r="25" spans="1:14" x14ac:dyDescent="0.25">
      <c r="A25" s="1" t="s">
        <v>517</v>
      </c>
    </row>
    <row r="26" spans="1:14" x14ac:dyDescent="0.25">
      <c r="A26" s="1" t="s">
        <v>38</v>
      </c>
      <c r="H26" s="6" t="s">
        <v>39</v>
      </c>
    </row>
    <row r="28" spans="1:14" x14ac:dyDescent="0.25">
      <c r="A28" s="1" t="s">
        <v>518</v>
      </c>
      <c r="H28" s="6">
        <v>9</v>
      </c>
    </row>
    <row r="29" spans="1:14" x14ac:dyDescent="0.25">
      <c r="N29" s="1" t="s">
        <v>19</v>
      </c>
    </row>
    <row r="30" spans="1:14" x14ac:dyDescent="0.25">
      <c r="A30" s="1" t="s">
        <v>40</v>
      </c>
    </row>
    <row r="31" spans="1:14" x14ac:dyDescent="0.25">
      <c r="A31" s="1" t="s">
        <v>41</v>
      </c>
    </row>
    <row r="32" spans="1:14" x14ac:dyDescent="0.25">
      <c r="A32" s="1" t="s">
        <v>29</v>
      </c>
      <c r="H32" s="6">
        <v>10</v>
      </c>
    </row>
    <row r="33" spans="1:8" x14ac:dyDescent="0.25">
      <c r="A33" s="1" t="s">
        <v>42</v>
      </c>
      <c r="H33" s="6">
        <v>11</v>
      </c>
    </row>
    <row r="35" spans="1:8" x14ac:dyDescent="0.25">
      <c r="A35" s="1" t="s">
        <v>310</v>
      </c>
    </row>
    <row r="36" spans="1:8" x14ac:dyDescent="0.25">
      <c r="A36" s="1" t="s">
        <v>311</v>
      </c>
      <c r="H36" s="156" t="s">
        <v>322</v>
      </c>
    </row>
    <row r="37" spans="1:8" x14ac:dyDescent="0.25">
      <c r="A37" s="1" t="s">
        <v>519</v>
      </c>
      <c r="H37" s="156" t="s">
        <v>313</v>
      </c>
    </row>
    <row r="38" spans="1:8" x14ac:dyDescent="0.25">
      <c r="A38" s="1" t="s">
        <v>520</v>
      </c>
      <c r="H38" s="156" t="s">
        <v>314</v>
      </c>
    </row>
    <row r="39" spans="1:8" s="368" customFormat="1" x14ac:dyDescent="0.25">
      <c r="A39" s="43" t="s">
        <v>521</v>
      </c>
      <c r="H39" s="156" t="s">
        <v>323</v>
      </c>
    </row>
    <row r="40" spans="1:8" x14ac:dyDescent="0.25">
      <c r="A40" s="1" t="s">
        <v>312</v>
      </c>
      <c r="H40" s="156" t="s">
        <v>512</v>
      </c>
    </row>
    <row r="122" spans="47:47" x14ac:dyDescent="0.25">
      <c r="AU122" s="1" t="s">
        <v>43</v>
      </c>
    </row>
    <row r="123" spans="47:47" x14ac:dyDescent="0.25">
      <c r="AU123" s="1" t="s">
        <v>44</v>
      </c>
    </row>
    <row r="138" spans="15:15" x14ac:dyDescent="0.25">
      <c r="O138" s="4"/>
    </row>
    <row r="139" spans="15:15" x14ac:dyDescent="0.25">
      <c r="O139" s="4"/>
    </row>
    <row r="140" spans="15:15" x14ac:dyDescent="0.25">
      <c r="O140" s="4"/>
    </row>
    <row r="141" spans="15:15" x14ac:dyDescent="0.25">
      <c r="O141" s="4"/>
    </row>
    <row r="142" spans="15:15" x14ac:dyDescent="0.25">
      <c r="O142" s="4"/>
    </row>
    <row r="143" spans="15:15" x14ac:dyDescent="0.25">
      <c r="O143" s="4"/>
    </row>
    <row r="144" spans="15:15" x14ac:dyDescent="0.25">
      <c r="O144" s="4"/>
    </row>
    <row r="145" spans="15:15" x14ac:dyDescent="0.25">
      <c r="O145" s="4"/>
    </row>
    <row r="146" spans="15:15" x14ac:dyDescent="0.25">
      <c r="O146" s="4"/>
    </row>
    <row r="147" spans="15:15" x14ac:dyDescent="0.25">
      <c r="O147" s="4"/>
    </row>
    <row r="148" spans="15:15" x14ac:dyDescent="0.25">
      <c r="O148" s="4"/>
    </row>
    <row r="149" spans="15:15" x14ac:dyDescent="0.25">
      <c r="O149" s="4"/>
    </row>
    <row r="150" spans="15:15" x14ac:dyDescent="0.25">
      <c r="O150" s="4"/>
    </row>
    <row r="151" spans="15:15" x14ac:dyDescent="0.25">
      <c r="O151" s="4"/>
    </row>
    <row r="152" spans="15:15" x14ac:dyDescent="0.25">
      <c r="O152" s="4"/>
    </row>
    <row r="153" spans="15:15" x14ac:dyDescent="0.25">
      <c r="O153" s="4"/>
    </row>
    <row r="154" spans="15:15" x14ac:dyDescent="0.25">
      <c r="O154" s="4"/>
    </row>
    <row r="155" spans="15:15" x14ac:dyDescent="0.25">
      <c r="O155" s="4"/>
    </row>
    <row r="156" spans="15:15" x14ac:dyDescent="0.25">
      <c r="O156" s="4"/>
    </row>
    <row r="157" spans="15:15" x14ac:dyDescent="0.25">
      <c r="O157" s="4"/>
    </row>
    <row r="158" spans="15:15" x14ac:dyDescent="0.25">
      <c r="O158" s="4"/>
    </row>
    <row r="159" spans="15:15" x14ac:dyDescent="0.25">
      <c r="O159" s="4"/>
    </row>
    <row r="160" spans="15:15" x14ac:dyDescent="0.25">
      <c r="O160" s="4"/>
    </row>
    <row r="161" spans="2:48" x14ac:dyDescent="0.25">
      <c r="O161" s="4"/>
    </row>
    <row r="162" spans="2:48" x14ac:dyDescent="0.25">
      <c r="O162" s="4"/>
    </row>
    <row r="163" spans="2:48" x14ac:dyDescent="0.25">
      <c r="O163" s="4"/>
    </row>
    <row r="164" spans="2:48" x14ac:dyDescent="0.25">
      <c r="O164" s="4"/>
      <c r="AG164" s="1" t="s">
        <v>45</v>
      </c>
    </row>
    <row r="165" spans="2:48" x14ac:dyDescent="0.25">
      <c r="O165" s="4"/>
    </row>
    <row r="166" spans="2:48" x14ac:dyDescent="0.25">
      <c r="O166" s="4"/>
      <c r="AE166" s="1" t="s">
        <v>46</v>
      </c>
    </row>
    <row r="167" spans="2:48" x14ac:dyDescent="0.25">
      <c r="O167" s="4"/>
      <c r="S167" s="1" t="s">
        <v>19</v>
      </c>
      <c r="T167" s="1" t="s">
        <v>19</v>
      </c>
      <c r="U167" s="1" t="s">
        <v>19</v>
      </c>
      <c r="V167" s="1" t="s">
        <v>19</v>
      </c>
    </row>
    <row r="168" spans="2:48" x14ac:dyDescent="0.25">
      <c r="O168" s="4"/>
    </row>
    <row r="169" spans="2:48" x14ac:dyDescent="0.25">
      <c r="F169" s="4"/>
      <c r="H169" s="4"/>
      <c r="I169" s="4"/>
      <c r="J169" s="4"/>
      <c r="K169" s="4"/>
      <c r="L169" s="4"/>
      <c r="M169" s="4"/>
      <c r="N169" s="4"/>
      <c r="O169" s="4"/>
      <c r="S169" s="1" t="s">
        <v>19</v>
      </c>
      <c r="T169" s="1" t="s">
        <v>19</v>
      </c>
    </row>
    <row r="170" spans="2:48" x14ac:dyDescent="0.25">
      <c r="B170" s="1" t="s">
        <v>47</v>
      </c>
      <c r="F170" s="4"/>
      <c r="H170" s="4"/>
      <c r="I170" s="4"/>
      <c r="J170" s="4"/>
      <c r="K170" s="4"/>
      <c r="L170" s="4"/>
      <c r="M170" s="4"/>
      <c r="N170" s="4"/>
      <c r="O170" s="4"/>
      <c r="AB170" s="1" t="s">
        <v>48</v>
      </c>
      <c r="AF170" s="1" t="s">
        <v>49</v>
      </c>
      <c r="AJ170" s="1" t="s">
        <v>50</v>
      </c>
      <c r="AN170" s="1" t="s">
        <v>51</v>
      </c>
    </row>
    <row r="171" spans="2:48" x14ac:dyDescent="0.25">
      <c r="F171" s="4"/>
      <c r="H171" s="4"/>
      <c r="I171" s="4"/>
      <c r="J171" s="4"/>
      <c r="K171" s="4"/>
      <c r="L171" s="4"/>
      <c r="M171" s="4"/>
      <c r="N171" s="4"/>
      <c r="O171" s="4"/>
      <c r="S171" s="1" t="s">
        <v>19</v>
      </c>
      <c r="AA171" s="1" t="s">
        <v>52</v>
      </c>
      <c r="AE171" s="1" t="s">
        <v>52</v>
      </c>
      <c r="AI171" s="1" t="s">
        <v>52</v>
      </c>
      <c r="AM171" s="1" t="s">
        <v>52</v>
      </c>
    </row>
    <row r="172" spans="2:48" x14ac:dyDescent="0.25">
      <c r="F172" s="4"/>
      <c r="H172" s="4"/>
      <c r="I172" s="4"/>
      <c r="J172" s="4"/>
      <c r="K172" s="4"/>
      <c r="L172" s="4"/>
      <c r="M172" s="4"/>
      <c r="N172" s="4"/>
      <c r="O172" s="4"/>
      <c r="S172" s="1" t="s">
        <v>19</v>
      </c>
      <c r="U172" s="1" t="s">
        <v>19</v>
      </c>
      <c r="AA172" s="6" t="s">
        <v>53</v>
      </c>
      <c r="AB172" s="6" t="s">
        <v>54</v>
      </c>
      <c r="AC172" s="6" t="s">
        <v>55</v>
      </c>
      <c r="AE172" s="6" t="s">
        <v>53</v>
      </c>
      <c r="AF172" s="6" t="s">
        <v>54</v>
      </c>
      <c r="AG172" s="6" t="s">
        <v>55</v>
      </c>
      <c r="AI172" s="6" t="s">
        <v>53</v>
      </c>
      <c r="AJ172" s="6" t="s">
        <v>54</v>
      </c>
      <c r="AK172" s="6" t="s">
        <v>55</v>
      </c>
      <c r="AM172" s="6" t="s">
        <v>53</v>
      </c>
      <c r="AN172" s="6" t="s">
        <v>54</v>
      </c>
      <c r="AO172" s="6" t="s">
        <v>55</v>
      </c>
    </row>
    <row r="173" spans="2:48" x14ac:dyDescent="0.25">
      <c r="F173" s="4"/>
      <c r="H173" s="4"/>
      <c r="I173" s="4"/>
      <c r="J173" s="4"/>
      <c r="K173" s="4"/>
      <c r="L173" s="4"/>
      <c r="M173" s="4"/>
      <c r="N173" s="4"/>
      <c r="O173" s="4"/>
      <c r="S173" s="1" t="s">
        <v>19</v>
      </c>
      <c r="AA173" s="6" t="s">
        <v>56</v>
      </c>
      <c r="AB173" s="6" t="s">
        <v>56</v>
      </c>
      <c r="AC173" s="6" t="s">
        <v>56</v>
      </c>
      <c r="AE173" s="6" t="s">
        <v>56</v>
      </c>
      <c r="AF173" s="6" t="s">
        <v>56</v>
      </c>
      <c r="AG173" s="6" t="s">
        <v>56</v>
      </c>
      <c r="AI173" s="6" t="s">
        <v>56</v>
      </c>
      <c r="AJ173" s="6" t="s">
        <v>56</v>
      </c>
      <c r="AK173" s="6" t="s">
        <v>56</v>
      </c>
      <c r="AM173" s="6" t="s">
        <v>56</v>
      </c>
      <c r="AN173" s="6" t="s">
        <v>56</v>
      </c>
      <c r="AO173" s="6" t="s">
        <v>56</v>
      </c>
    </row>
    <row r="174" spans="2:48" x14ac:dyDescent="0.25">
      <c r="F174" s="4"/>
      <c r="H174" s="4"/>
      <c r="I174" s="4"/>
      <c r="J174" s="4"/>
      <c r="K174" s="4"/>
      <c r="L174" s="4"/>
      <c r="M174" s="4"/>
      <c r="N174" s="4"/>
      <c r="O174" s="4"/>
      <c r="S174" s="1" t="s">
        <v>19</v>
      </c>
      <c r="X174" s="1" t="s">
        <v>57</v>
      </c>
    </row>
    <row r="175" spans="2:48" x14ac:dyDescent="0.25">
      <c r="H175" s="4"/>
      <c r="X175" s="1" t="s">
        <v>58</v>
      </c>
      <c r="AA175" s="4">
        <v>780</v>
      </c>
      <c r="AB175" s="4">
        <v>778</v>
      </c>
      <c r="AC175" s="4">
        <v>764</v>
      </c>
      <c r="AE175" s="4">
        <v>1060</v>
      </c>
      <c r="AF175" s="4">
        <v>1059</v>
      </c>
      <c r="AG175" s="4">
        <v>1052</v>
      </c>
      <c r="AI175" s="4">
        <v>905</v>
      </c>
      <c r="AJ175" s="4">
        <v>905</v>
      </c>
      <c r="AK175" s="4">
        <v>883</v>
      </c>
      <c r="AM175" s="6" t="s">
        <v>23</v>
      </c>
      <c r="AN175" s="6" t="s">
        <v>23</v>
      </c>
      <c r="AO175" s="6" t="s">
        <v>23</v>
      </c>
      <c r="AT175" s="6" t="s">
        <v>23</v>
      </c>
      <c r="AV175" s="6" t="s">
        <v>23</v>
      </c>
    </row>
    <row r="176" spans="2:48" x14ac:dyDescent="0.25">
      <c r="H176" s="4"/>
    </row>
    <row r="177" spans="8:48" x14ac:dyDescent="0.25">
      <c r="H177" s="4"/>
    </row>
    <row r="178" spans="8:48" x14ac:dyDescent="0.25">
      <c r="H178" s="4"/>
      <c r="AE178" s="1" t="s">
        <v>19</v>
      </c>
      <c r="AF178" s="1" t="s">
        <v>19</v>
      </c>
      <c r="AG178" s="1" t="s">
        <v>19</v>
      </c>
      <c r="AI178" s="1" t="s">
        <v>19</v>
      </c>
      <c r="AJ178" s="1" t="s">
        <v>19</v>
      </c>
      <c r="AK178" s="1" t="s">
        <v>19</v>
      </c>
      <c r="AM178" s="1" t="s">
        <v>19</v>
      </c>
      <c r="AT178" s="9" t="s">
        <v>23</v>
      </c>
      <c r="AV178" s="9" t="s">
        <v>23</v>
      </c>
    </row>
    <row r="179" spans="8:48" x14ac:dyDescent="0.25">
      <c r="H179" s="4"/>
    </row>
    <row r="180" spans="8:48" x14ac:dyDescent="0.25">
      <c r="H180" s="4"/>
      <c r="X180" s="1" t="s">
        <v>59</v>
      </c>
    </row>
    <row r="181" spans="8:48" x14ac:dyDescent="0.25">
      <c r="H181" s="4"/>
      <c r="X181" s="1" t="s">
        <v>60</v>
      </c>
      <c r="AA181" s="10">
        <f>(184353/+AA175)/12</f>
        <v>19.695833333333333</v>
      </c>
      <c r="AB181" s="10">
        <f>192583/778/12</f>
        <v>20.62799914310197</v>
      </c>
      <c r="AC181" s="10">
        <v>21.63</v>
      </c>
      <c r="AE181" s="10">
        <f>(144291/+AE175)/12</f>
        <v>11.343632075471698</v>
      </c>
      <c r="AF181" s="10">
        <f>95160/1059/12</f>
        <v>7.4881964117091604</v>
      </c>
      <c r="AG181" s="10">
        <v>7.09</v>
      </c>
      <c r="AI181" s="10">
        <f>(91201/AI175)/12</f>
        <v>8.397882136279927</v>
      </c>
      <c r="AJ181" s="10">
        <f>53593/905/12</f>
        <v>4.9348987108655615</v>
      </c>
      <c r="AK181" s="10">
        <v>5.22</v>
      </c>
      <c r="AM181" s="10">
        <f>AA181+AE181+AI181</f>
        <v>39.437347545084954</v>
      </c>
      <c r="AN181" s="10">
        <f>AB181+AF181+AJ181</f>
        <v>33.051094265676696</v>
      </c>
      <c r="AO181" s="10">
        <f>AC181+AG181+AK181</f>
        <v>33.94</v>
      </c>
      <c r="AT181" s="10" t="e">
        <v>#VALUE!</v>
      </c>
      <c r="AV181" s="10">
        <f>AK181+AG181+AC181</f>
        <v>33.94</v>
      </c>
    </row>
    <row r="182" spans="8:48" x14ac:dyDescent="0.25">
      <c r="H182" s="4"/>
    </row>
    <row r="183" spans="8:48" x14ac:dyDescent="0.25">
      <c r="H183" s="4"/>
      <c r="X183" s="1" t="s">
        <v>61</v>
      </c>
      <c r="AA183" s="11">
        <f>(179072/+AA175)/12</f>
        <v>19.131623931623931</v>
      </c>
      <c r="AB183" s="11">
        <f>172192/778/12</f>
        <v>18.443873179091689</v>
      </c>
      <c r="AC183" s="11">
        <v>21.18</v>
      </c>
      <c r="AE183" s="11">
        <f>(103596/+AE175)/12</f>
        <v>8.1443396226415086</v>
      </c>
      <c r="AF183" s="11">
        <f>89580/1059/12</f>
        <v>7.0491029272898968</v>
      </c>
      <c r="AG183" s="11">
        <v>6.94</v>
      </c>
      <c r="AI183" s="11">
        <f>(118847/AI175)/12</f>
        <v>10.943554327808471</v>
      </c>
      <c r="AJ183" s="11">
        <f>127825/905/12</f>
        <v>11.77025782688766</v>
      </c>
      <c r="AK183" s="11">
        <v>10.7</v>
      </c>
      <c r="AM183" s="12">
        <f>AA183+AE183+AI183</f>
        <v>38.219517882073909</v>
      </c>
      <c r="AN183" s="12">
        <f>AB183+AF183+AJ183</f>
        <v>37.263233933269248</v>
      </c>
      <c r="AO183" s="12">
        <f>AC183+AG183+AK183</f>
        <v>38.82</v>
      </c>
      <c r="AT183" s="11" t="e">
        <v>#VALUE!</v>
      </c>
      <c r="AV183" s="11">
        <f>AK183+AG183+AC183</f>
        <v>38.82</v>
      </c>
    </row>
    <row r="184" spans="8:48" x14ac:dyDescent="0.25">
      <c r="H184" s="4"/>
      <c r="AA184" s="13" t="s">
        <v>62</v>
      </c>
      <c r="AB184" s="13" t="s">
        <v>62</v>
      </c>
      <c r="AC184" s="13" t="s">
        <v>62</v>
      </c>
      <c r="AE184" s="13" t="s">
        <v>62</v>
      </c>
      <c r="AF184" s="13" t="s">
        <v>62</v>
      </c>
      <c r="AG184" s="13" t="s">
        <v>62</v>
      </c>
      <c r="AI184" s="13" t="s">
        <v>62</v>
      </c>
      <c r="AJ184" s="13" t="s">
        <v>62</v>
      </c>
      <c r="AK184" s="13" t="s">
        <v>62</v>
      </c>
      <c r="AM184" s="13" t="s">
        <v>62</v>
      </c>
      <c r="AN184" s="13" t="s">
        <v>62</v>
      </c>
      <c r="AO184" s="13" t="s">
        <v>62</v>
      </c>
      <c r="AT184" s="9" t="s">
        <v>23</v>
      </c>
      <c r="AV184" s="9" t="s">
        <v>23</v>
      </c>
    </row>
    <row r="185" spans="8:48" x14ac:dyDescent="0.25">
      <c r="H185" s="4"/>
    </row>
    <row r="186" spans="8:48" x14ac:dyDescent="0.25">
      <c r="H186" s="4"/>
      <c r="X186" s="1" t="s">
        <v>63</v>
      </c>
      <c r="AA186" s="11">
        <f>AA181-AA183</f>
        <v>0.5642094017094017</v>
      </c>
      <c r="AB186" s="11">
        <f>AB181-AB183</f>
        <v>2.1841259640102813</v>
      </c>
      <c r="AC186" s="11">
        <f>AC181-AC183</f>
        <v>0.44999999999999929</v>
      </c>
      <c r="AE186" s="11">
        <f>AE181-AE183</f>
        <v>3.1992924528301891</v>
      </c>
      <c r="AF186" s="11">
        <f>AF181-AF183</f>
        <v>0.43909348441926355</v>
      </c>
      <c r="AG186" s="11">
        <f>AG181-AG183</f>
        <v>0.14999999999999947</v>
      </c>
      <c r="AI186" s="11">
        <f>AI181-AI183</f>
        <v>-2.5456721915285438</v>
      </c>
      <c r="AJ186" s="11">
        <f>AJ181-AJ183</f>
        <v>-6.8353591160220981</v>
      </c>
      <c r="AK186" s="11">
        <f>AK181-AK183</f>
        <v>-5.4799999999999995</v>
      </c>
      <c r="AM186" s="11">
        <f>AM181-AM183</f>
        <v>1.2178296630110452</v>
      </c>
      <c r="AN186" s="11">
        <f>AN181-AN183</f>
        <v>-4.2121396675925524</v>
      </c>
      <c r="AO186" s="11">
        <f>AO181-AO183</f>
        <v>-4.8800000000000026</v>
      </c>
      <c r="AT186" s="11" t="e">
        <f>AT181-AT183</f>
        <v>#VALUE!</v>
      </c>
      <c r="AV186" s="11">
        <f>AV181-AV183</f>
        <v>-4.8800000000000026</v>
      </c>
    </row>
    <row r="187" spans="8:48" x14ac:dyDescent="0.25">
      <c r="H187" s="4"/>
    </row>
    <row r="188" spans="8:48" x14ac:dyDescent="0.25">
      <c r="H188" s="4"/>
      <c r="X188" s="1" t="s">
        <v>64</v>
      </c>
    </row>
    <row r="189" spans="8:48" x14ac:dyDescent="0.25">
      <c r="H189" s="4"/>
      <c r="X189" s="1" t="s">
        <v>65</v>
      </c>
      <c r="AA189" s="11">
        <f>(21034/+AA175)/12</f>
        <v>2.2472222222222222</v>
      </c>
      <c r="AB189" s="11">
        <f>20657/778/12</f>
        <v>2.2126178234790062</v>
      </c>
      <c r="AC189" s="11">
        <v>2.15</v>
      </c>
      <c r="AE189" s="11">
        <f>(20847/AE175)/12</f>
        <v>1.6389150943396225</v>
      </c>
      <c r="AF189" s="11">
        <f>16313/1059/12</f>
        <v>1.2836795719231979</v>
      </c>
      <c r="AG189" s="11">
        <v>1.3</v>
      </c>
      <c r="AI189" s="11">
        <f>(26466/AI175)/12</f>
        <v>2.4370165745856354</v>
      </c>
      <c r="AJ189" s="11">
        <f>26417/905/12</f>
        <v>2.4325046040515654</v>
      </c>
      <c r="AK189" s="11">
        <v>2.5299999999999998</v>
      </c>
      <c r="AM189" s="12">
        <f>AA189+AE189+AI189</f>
        <v>6.3231538911474807</v>
      </c>
      <c r="AN189" s="12">
        <f>AB189+AF189+AJ189</f>
        <v>5.9288019994537695</v>
      </c>
      <c r="AO189" s="12">
        <f>AC189+AG189+AK189</f>
        <v>5.98</v>
      </c>
      <c r="AT189" s="11" t="e">
        <v>#VALUE!</v>
      </c>
      <c r="AV189" s="11">
        <f>AK189+AG189+AC189</f>
        <v>5.98</v>
      </c>
    </row>
    <row r="190" spans="8:48" x14ac:dyDescent="0.25">
      <c r="H190" s="4"/>
      <c r="AA190" s="13" t="s">
        <v>62</v>
      </c>
      <c r="AB190" s="13" t="s">
        <v>62</v>
      </c>
      <c r="AC190" s="13" t="s">
        <v>62</v>
      </c>
      <c r="AE190" s="13" t="s">
        <v>62</v>
      </c>
      <c r="AF190" s="13" t="s">
        <v>62</v>
      </c>
      <c r="AG190" s="13" t="s">
        <v>62</v>
      </c>
      <c r="AI190" s="13" t="s">
        <v>62</v>
      </c>
      <c r="AJ190" s="13" t="s">
        <v>62</v>
      </c>
      <c r="AK190" s="13" t="s">
        <v>62</v>
      </c>
      <c r="AM190" s="13" t="s">
        <v>62</v>
      </c>
      <c r="AN190" s="13" t="s">
        <v>62</v>
      </c>
      <c r="AO190" s="13" t="s">
        <v>62</v>
      </c>
      <c r="AT190" s="9" t="s">
        <v>23</v>
      </c>
      <c r="AV190" s="9" t="s">
        <v>23</v>
      </c>
    </row>
    <row r="191" spans="8:48" x14ac:dyDescent="0.25">
      <c r="H191" s="4"/>
    </row>
    <row r="192" spans="8:48" x14ac:dyDescent="0.25">
      <c r="H192" s="4"/>
      <c r="X192" s="1" t="s">
        <v>65</v>
      </c>
    </row>
    <row r="193" spans="8:48" x14ac:dyDescent="0.25">
      <c r="H193" s="4"/>
      <c r="X193" s="1" t="s">
        <v>66</v>
      </c>
      <c r="AA193" s="10">
        <f>AA189+AA186</f>
        <v>2.8114316239316239</v>
      </c>
      <c r="AB193" s="10">
        <f>AB189+AB186</f>
        <v>4.396743787489287</v>
      </c>
      <c r="AC193" s="10">
        <f>AC189+AC186</f>
        <v>2.5999999999999992</v>
      </c>
      <c r="AE193" s="10">
        <f>AE189+AE186</f>
        <v>4.8382075471698114</v>
      </c>
      <c r="AF193" s="10">
        <f>AF189+AF186</f>
        <v>1.7227730563424615</v>
      </c>
      <c r="AG193" s="10">
        <f>AG189+AG186</f>
        <v>1.4499999999999995</v>
      </c>
      <c r="AI193" s="10">
        <f>AI189+AI186</f>
        <v>-0.10865561694290848</v>
      </c>
      <c r="AJ193" s="10">
        <f>AJ189+AJ186</f>
        <v>-4.4028545119705331</v>
      </c>
      <c r="AK193" s="10">
        <f>AK189+AK186</f>
        <v>-2.9499999999999997</v>
      </c>
      <c r="AM193" s="10">
        <f>AM189+AM186</f>
        <v>7.5409835541585259</v>
      </c>
      <c r="AN193" s="10">
        <f>AN189+AN186</f>
        <v>1.7166623318612171</v>
      </c>
      <c r="AO193" s="10">
        <f>AO189+AO186</f>
        <v>1.0999999999999979</v>
      </c>
      <c r="AT193" s="10" t="e">
        <f>AT189+AT186</f>
        <v>#VALUE!</v>
      </c>
      <c r="AV193" s="10">
        <f>AV189+AV186</f>
        <v>1.0999999999999979</v>
      </c>
    </row>
    <row r="194" spans="8:48" x14ac:dyDescent="0.25">
      <c r="H194" s="4"/>
      <c r="AA194" s="14" t="s">
        <v>67</v>
      </c>
      <c r="AB194" s="14" t="s">
        <v>67</v>
      </c>
      <c r="AC194" s="14" t="s">
        <v>67</v>
      </c>
      <c r="AE194" s="14" t="s">
        <v>67</v>
      </c>
      <c r="AF194" s="14" t="s">
        <v>67</v>
      </c>
      <c r="AG194" s="14" t="s">
        <v>67</v>
      </c>
      <c r="AI194" s="14" t="s">
        <v>67</v>
      </c>
      <c r="AJ194" s="14" t="s">
        <v>67</v>
      </c>
      <c r="AK194" s="14" t="s">
        <v>67</v>
      </c>
      <c r="AM194" s="14" t="s">
        <v>67</v>
      </c>
      <c r="AN194" s="14" t="s">
        <v>67</v>
      </c>
      <c r="AO194" s="14" t="s">
        <v>67</v>
      </c>
      <c r="AT194" s="15" t="s">
        <v>68</v>
      </c>
      <c r="AV194" s="15" t="s">
        <v>68</v>
      </c>
    </row>
    <row r="195" spans="8:48" x14ac:dyDescent="0.25">
      <c r="H195" s="4"/>
    </row>
    <row r="196" spans="8:48" x14ac:dyDescent="0.25">
      <c r="H196" s="4"/>
    </row>
    <row r="197" spans="8:48" x14ac:dyDescent="0.25">
      <c r="H197" s="4"/>
    </row>
    <row r="198" spans="8:48" x14ac:dyDescent="0.25">
      <c r="H198" s="4"/>
      <c r="X198" s="1" t="s">
        <v>69</v>
      </c>
    </row>
    <row r="1501" spans="24:24" x14ac:dyDescent="0.25">
      <c r="X1501" s="1" t="s">
        <v>70</v>
      </c>
    </row>
    <row r="1502" spans="24:24" x14ac:dyDescent="0.25">
      <c r="X1502" s="1" t="s">
        <v>71</v>
      </c>
    </row>
  </sheetData>
  <mergeCells count="4">
    <mergeCell ref="A1:H1"/>
    <mergeCell ref="A2:H2"/>
    <mergeCell ref="A3:H3"/>
    <mergeCell ref="A6:H6"/>
  </mergeCells>
  <phoneticPr fontId="0" type="noConversion"/>
  <pageMargins left="1" right="1" top="0.5" bottom="0.25" header="0.25" footer="0"/>
  <pageSetup orientation="portrait" r:id="rId1"/>
  <headerFooter alignWithMargins="0">
    <oddFooter>&amp;L&amp;"Times New Roman,Regular"&amp;9&amp;D &amp;C&amp;"Times New Roman,Regular"&amp;9&amp;Z&amp;F&amp;R&amp;"Times New Roman,Regular"&amp;9&amp;A</oddFooter>
  </headerFooter>
  <rowBreaks count="3" manualBreakCount="3">
    <brk id="88" max="16383" man="1"/>
    <brk id="122" max="16383" man="1"/>
    <brk id="169"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B1:AK1513"/>
  <sheetViews>
    <sheetView showGridLines="0" view="pageBreakPreview" topLeftCell="A4" zoomScale="120" zoomScaleNormal="100" zoomScaleSheetLayoutView="120" workbookViewId="0">
      <selection activeCell="B25" sqref="B25"/>
    </sheetView>
  </sheetViews>
  <sheetFormatPr defaultColWidth="9.77734375" defaultRowHeight="15.75" x14ac:dyDescent="0.25"/>
  <cols>
    <col min="1" max="1" width="15.21875" style="75" customWidth="1"/>
    <col min="2" max="2" width="58.77734375" style="75" customWidth="1"/>
    <col min="3" max="3" width="15.44140625" style="75" customWidth="1"/>
    <col min="4" max="10" width="8.88671875" style="75" customWidth="1"/>
    <col min="11" max="18" width="9.77734375" style="75"/>
    <col min="19" max="19" width="2.77734375" style="75" customWidth="1"/>
    <col min="20" max="22" width="9.77734375" style="75"/>
    <col min="23" max="23" width="2.77734375" style="75" customWidth="1"/>
    <col min="24" max="16384" width="9.77734375" style="75"/>
  </cols>
  <sheetData>
    <row r="1" spans="2:4" x14ac:dyDescent="0.25">
      <c r="B1" s="262" t="s">
        <v>45</v>
      </c>
      <c r="C1" s="110"/>
      <c r="D1" s="155"/>
    </row>
    <row r="2" spans="2:4" x14ac:dyDescent="0.25">
      <c r="B2" s="262" t="s">
        <v>300</v>
      </c>
      <c r="C2" s="110"/>
      <c r="D2" s="155"/>
    </row>
    <row r="3" spans="2:4" x14ac:dyDescent="0.25">
      <c r="B3" s="263" t="s">
        <v>540</v>
      </c>
      <c r="C3" s="110"/>
      <c r="D3" s="155"/>
    </row>
    <row r="4" spans="2:4" x14ac:dyDescent="0.25">
      <c r="B4" s="269"/>
      <c r="C4" s="110"/>
      <c r="D4" s="155"/>
    </row>
    <row r="5" spans="2:4" x14ac:dyDescent="0.25">
      <c r="B5" s="75" t="s">
        <v>19</v>
      </c>
    </row>
    <row r="6" spans="2:4" x14ac:dyDescent="0.25">
      <c r="B6" s="75" t="s">
        <v>541</v>
      </c>
    </row>
    <row r="7" spans="2:4" x14ac:dyDescent="0.25">
      <c r="B7" s="75" t="s">
        <v>542</v>
      </c>
    </row>
    <row r="8" spans="2:4" x14ac:dyDescent="0.25">
      <c r="B8" s="75" t="s">
        <v>417</v>
      </c>
    </row>
    <row r="9" spans="2:4" x14ac:dyDescent="0.25">
      <c r="B9" s="75" t="s">
        <v>288</v>
      </c>
    </row>
    <row r="10" spans="2:4" x14ac:dyDescent="0.25">
      <c r="B10" s="75" t="s">
        <v>289</v>
      </c>
    </row>
    <row r="11" spans="2:4" x14ac:dyDescent="0.25">
      <c r="B11" s="75" t="s">
        <v>290</v>
      </c>
    </row>
    <row r="12" spans="2:4" x14ac:dyDescent="0.25">
      <c r="B12" s="75" t="s">
        <v>291</v>
      </c>
    </row>
    <row r="13" spans="2:4" x14ac:dyDescent="0.25">
      <c r="B13" s="75" t="s">
        <v>292</v>
      </c>
    </row>
    <row r="14" spans="2:4" x14ac:dyDescent="0.25">
      <c r="B14" s="75" t="s">
        <v>558</v>
      </c>
    </row>
    <row r="15" spans="2:4" x14ac:dyDescent="0.25">
      <c r="B15" s="75" t="s">
        <v>559</v>
      </c>
    </row>
    <row r="16" spans="2:4" x14ac:dyDescent="0.25">
      <c r="B16" s="75" t="s">
        <v>293</v>
      </c>
    </row>
    <row r="18" spans="2:14" x14ac:dyDescent="0.25">
      <c r="B18" s="75" t="s">
        <v>280</v>
      </c>
    </row>
    <row r="20" spans="2:14" x14ac:dyDescent="0.25">
      <c r="B20" s="75" t="s">
        <v>286</v>
      </c>
    </row>
    <row r="21" spans="2:14" x14ac:dyDescent="0.25">
      <c r="B21" s="75" t="s">
        <v>543</v>
      </c>
    </row>
    <row r="22" spans="2:14" x14ac:dyDescent="0.25">
      <c r="B22" s="75" t="s">
        <v>287</v>
      </c>
    </row>
    <row r="23" spans="2:14" x14ac:dyDescent="0.25">
      <c r="B23" s="75" t="s">
        <v>424</v>
      </c>
    </row>
    <row r="24" spans="2:14" x14ac:dyDescent="0.25">
      <c r="C24" s="92"/>
      <c r="D24" s="92"/>
    </row>
    <row r="25" spans="2:14" x14ac:dyDescent="0.25">
      <c r="B25" s="75" t="s">
        <v>284</v>
      </c>
      <c r="C25" s="92"/>
      <c r="D25" s="92"/>
    </row>
    <row r="26" spans="2:14" x14ac:dyDescent="0.25">
      <c r="B26" s="75" t="s">
        <v>442</v>
      </c>
    </row>
    <row r="27" spans="2:14" x14ac:dyDescent="0.25">
      <c r="B27" s="75" t="s">
        <v>552</v>
      </c>
    </row>
    <row r="29" spans="2:14" x14ac:dyDescent="0.25">
      <c r="B29" s="75" t="s">
        <v>281</v>
      </c>
      <c r="N29" s="75" t="s">
        <v>19</v>
      </c>
    </row>
    <row r="30" spans="2:14" x14ac:dyDescent="0.25">
      <c r="B30" s="75" t="s">
        <v>282</v>
      </c>
    </row>
    <row r="31" spans="2:14" x14ac:dyDescent="0.25">
      <c r="B31" s="75" t="s">
        <v>553</v>
      </c>
    </row>
    <row r="32" spans="2:14" x14ac:dyDescent="0.25">
      <c r="B32" s="75" t="s">
        <v>554</v>
      </c>
    </row>
    <row r="33" spans="2:2" x14ac:dyDescent="0.25">
      <c r="B33" s="122"/>
    </row>
    <row r="34" spans="2:2" x14ac:dyDescent="0.25">
      <c r="B34" s="75" t="s">
        <v>294</v>
      </c>
    </row>
    <row r="35" spans="2:2" x14ac:dyDescent="0.25">
      <c r="B35" s="75" t="s">
        <v>295</v>
      </c>
    </row>
    <row r="36" spans="2:2" x14ac:dyDescent="0.25">
      <c r="B36" s="75" t="s">
        <v>296</v>
      </c>
    </row>
    <row r="37" spans="2:2" x14ac:dyDescent="0.25">
      <c r="B37" s="75" t="s">
        <v>297</v>
      </c>
    </row>
    <row r="38" spans="2:2" x14ac:dyDescent="0.25">
      <c r="B38" s="75" t="s">
        <v>298</v>
      </c>
    </row>
    <row r="39" spans="2:2" x14ac:dyDescent="0.25">
      <c r="B39" s="75" t="s">
        <v>299</v>
      </c>
    </row>
    <row r="42" spans="2:2" x14ac:dyDescent="0.25">
      <c r="B42" s="75" t="s">
        <v>283</v>
      </c>
    </row>
    <row r="44" spans="2:2" x14ac:dyDescent="0.25">
      <c r="B44" s="75" t="s">
        <v>515</v>
      </c>
    </row>
    <row r="133" spans="36:36" x14ac:dyDescent="0.25">
      <c r="AJ133" s="75" t="s">
        <v>43</v>
      </c>
    </row>
    <row r="134" spans="36:36" x14ac:dyDescent="0.25">
      <c r="AJ134" s="75" t="s">
        <v>44</v>
      </c>
    </row>
    <row r="175" spans="22:22" x14ac:dyDescent="0.25">
      <c r="V175" s="75" t="s">
        <v>45</v>
      </c>
    </row>
    <row r="177" spans="11:37" x14ac:dyDescent="0.25">
      <c r="T177" s="75" t="s">
        <v>46</v>
      </c>
    </row>
    <row r="178" spans="11:37" x14ac:dyDescent="0.25">
      <c r="K178" s="75" t="s">
        <v>19</v>
      </c>
    </row>
    <row r="181" spans="11:37" x14ac:dyDescent="0.25">
      <c r="Q181" s="75" t="s">
        <v>48</v>
      </c>
      <c r="U181" s="75" t="s">
        <v>49</v>
      </c>
      <c r="Y181" s="75" t="s">
        <v>50</v>
      </c>
      <c r="AC181" s="75" t="s">
        <v>51</v>
      </c>
    </row>
    <row r="182" spans="11:37" x14ac:dyDescent="0.25">
      <c r="P182" s="75" t="s">
        <v>52</v>
      </c>
      <c r="T182" s="75" t="s">
        <v>52</v>
      </c>
      <c r="X182" s="75" t="s">
        <v>52</v>
      </c>
      <c r="AB182" s="75" t="s">
        <v>52</v>
      </c>
    </row>
    <row r="183" spans="11:37" x14ac:dyDescent="0.25">
      <c r="P183" s="123" t="s">
        <v>53</v>
      </c>
      <c r="Q183" s="123" t="s">
        <v>54</v>
      </c>
      <c r="R183" s="123" t="s">
        <v>55</v>
      </c>
      <c r="T183" s="123" t="s">
        <v>53</v>
      </c>
      <c r="U183" s="123" t="s">
        <v>54</v>
      </c>
      <c r="V183" s="123" t="s">
        <v>55</v>
      </c>
      <c r="X183" s="123" t="s">
        <v>53</v>
      </c>
      <c r="Y183" s="123" t="s">
        <v>54</v>
      </c>
      <c r="Z183" s="123" t="s">
        <v>55</v>
      </c>
      <c r="AB183" s="123" t="s">
        <v>53</v>
      </c>
      <c r="AC183" s="123" t="s">
        <v>54</v>
      </c>
      <c r="AD183" s="123" t="s">
        <v>55</v>
      </c>
    </row>
    <row r="184" spans="11:37" x14ac:dyDescent="0.25">
      <c r="P184" s="123" t="s">
        <v>56</v>
      </c>
      <c r="Q184" s="123" t="s">
        <v>56</v>
      </c>
      <c r="R184" s="123" t="s">
        <v>56</v>
      </c>
      <c r="T184" s="123" t="s">
        <v>56</v>
      </c>
      <c r="U184" s="123" t="s">
        <v>56</v>
      </c>
      <c r="V184" s="123" t="s">
        <v>56</v>
      </c>
      <c r="X184" s="123" t="s">
        <v>56</v>
      </c>
      <c r="Y184" s="123" t="s">
        <v>56</v>
      </c>
      <c r="Z184" s="123" t="s">
        <v>56</v>
      </c>
      <c r="AB184" s="123" t="s">
        <v>56</v>
      </c>
      <c r="AC184" s="123" t="s">
        <v>56</v>
      </c>
      <c r="AD184" s="123" t="s">
        <v>56</v>
      </c>
    </row>
    <row r="185" spans="11:37" x14ac:dyDescent="0.25">
      <c r="M185" s="75" t="s">
        <v>57</v>
      </c>
    </row>
    <row r="186" spans="11:37" x14ac:dyDescent="0.25">
      <c r="M186" s="75" t="s">
        <v>58</v>
      </c>
      <c r="P186" s="87">
        <v>780</v>
      </c>
      <c r="Q186" s="87">
        <v>778</v>
      </c>
      <c r="R186" s="87">
        <v>764</v>
      </c>
      <c r="T186" s="87">
        <v>1060</v>
      </c>
      <c r="U186" s="87">
        <v>1059</v>
      </c>
      <c r="V186" s="87">
        <v>1052</v>
      </c>
      <c r="X186" s="87">
        <v>905</v>
      </c>
      <c r="Y186" s="87">
        <v>905</v>
      </c>
      <c r="Z186" s="87">
        <v>883</v>
      </c>
      <c r="AB186" s="123" t="s">
        <v>23</v>
      </c>
      <c r="AC186" s="123" t="s">
        <v>23</v>
      </c>
      <c r="AD186" s="123" t="s">
        <v>23</v>
      </c>
      <c r="AI186" s="123" t="s">
        <v>23</v>
      </c>
      <c r="AK186" s="123" t="s">
        <v>23</v>
      </c>
    </row>
    <row r="189" spans="11:37" x14ac:dyDescent="0.25">
      <c r="T189" s="75" t="s">
        <v>19</v>
      </c>
      <c r="U189" s="75" t="s">
        <v>19</v>
      </c>
      <c r="V189" s="75" t="s">
        <v>19</v>
      </c>
      <c r="X189" s="75" t="s">
        <v>19</v>
      </c>
      <c r="Y189" s="75" t="s">
        <v>19</v>
      </c>
      <c r="Z189" s="75" t="s">
        <v>19</v>
      </c>
      <c r="AB189" s="75" t="s">
        <v>19</v>
      </c>
      <c r="AI189" s="124" t="s">
        <v>23</v>
      </c>
      <c r="AK189" s="124" t="s">
        <v>23</v>
      </c>
    </row>
    <row r="191" spans="11:37" x14ac:dyDescent="0.25">
      <c r="M191" s="75" t="s">
        <v>59</v>
      </c>
    </row>
    <row r="192" spans="11:37" x14ac:dyDescent="0.25">
      <c r="M192" s="75" t="s">
        <v>60</v>
      </c>
      <c r="P192" s="125">
        <f>(184353/+P186)/12</f>
        <v>19.695833333333333</v>
      </c>
      <c r="Q192" s="125">
        <f>192583/778/12</f>
        <v>20.62799914310197</v>
      </c>
      <c r="R192" s="125">
        <v>21.63</v>
      </c>
      <c r="T192" s="125">
        <f>(144291/+T186)/12</f>
        <v>11.343632075471698</v>
      </c>
      <c r="U192" s="125">
        <f>95160/1059/12</f>
        <v>7.4881964117091604</v>
      </c>
      <c r="V192" s="125">
        <v>7.09</v>
      </c>
      <c r="X192" s="125">
        <f>(91201/X186)/12</f>
        <v>8.397882136279927</v>
      </c>
      <c r="Y192" s="125">
        <f>53593/905/12</f>
        <v>4.9348987108655615</v>
      </c>
      <c r="Z192" s="125">
        <v>5.22</v>
      </c>
      <c r="AB192" s="125">
        <f>P192+T192+X192</f>
        <v>39.437347545084954</v>
      </c>
      <c r="AC192" s="125">
        <f>Q192+U192+Y192</f>
        <v>33.051094265676696</v>
      </c>
      <c r="AD192" s="125">
        <f>R192+V192+Z192</f>
        <v>33.94</v>
      </c>
      <c r="AI192" s="125" t="e">
        <v>#VALUE!</v>
      </c>
      <c r="AK192" s="125">
        <f>Z192+V192+R192</f>
        <v>33.94</v>
      </c>
    </row>
    <row r="194" spans="13:37" x14ac:dyDescent="0.25">
      <c r="M194" s="75" t="s">
        <v>61</v>
      </c>
      <c r="P194" s="126">
        <f>(179072/+P186)/12</f>
        <v>19.131623931623931</v>
      </c>
      <c r="Q194" s="126">
        <f>172192/778/12</f>
        <v>18.443873179091689</v>
      </c>
      <c r="R194" s="126">
        <v>21.18</v>
      </c>
      <c r="T194" s="126">
        <f>(103596/+T186)/12</f>
        <v>8.1443396226415086</v>
      </c>
      <c r="U194" s="126">
        <f>89580/1059/12</f>
        <v>7.0491029272898968</v>
      </c>
      <c r="V194" s="126">
        <v>6.94</v>
      </c>
      <c r="X194" s="126">
        <f>(118847/X186)/12</f>
        <v>10.943554327808471</v>
      </c>
      <c r="Y194" s="126">
        <f>127825/905/12</f>
        <v>11.77025782688766</v>
      </c>
      <c r="Z194" s="126">
        <v>10.7</v>
      </c>
      <c r="AB194" s="127">
        <f>P194+T194+X194</f>
        <v>38.219517882073909</v>
      </c>
      <c r="AC194" s="127">
        <f>Q194+U194+Y194</f>
        <v>37.263233933269248</v>
      </c>
      <c r="AD194" s="127">
        <f>R194+V194+Z194</f>
        <v>38.82</v>
      </c>
      <c r="AI194" s="126" t="e">
        <v>#VALUE!</v>
      </c>
      <c r="AK194" s="126">
        <f>Z194+V194+R194</f>
        <v>38.82</v>
      </c>
    </row>
    <row r="195" spans="13:37" x14ac:dyDescent="0.25">
      <c r="P195" s="128" t="s">
        <v>62</v>
      </c>
      <c r="Q195" s="128" t="s">
        <v>62</v>
      </c>
      <c r="R195" s="128" t="s">
        <v>62</v>
      </c>
      <c r="T195" s="128" t="s">
        <v>62</v>
      </c>
      <c r="U195" s="128" t="s">
        <v>62</v>
      </c>
      <c r="V195" s="128" t="s">
        <v>62</v>
      </c>
      <c r="X195" s="128" t="s">
        <v>62</v>
      </c>
      <c r="Y195" s="128" t="s">
        <v>62</v>
      </c>
      <c r="Z195" s="128" t="s">
        <v>62</v>
      </c>
      <c r="AB195" s="128" t="s">
        <v>62</v>
      </c>
      <c r="AC195" s="128" t="s">
        <v>62</v>
      </c>
      <c r="AD195" s="128" t="s">
        <v>62</v>
      </c>
      <c r="AI195" s="124" t="s">
        <v>23</v>
      </c>
      <c r="AK195" s="124" t="s">
        <v>23</v>
      </c>
    </row>
    <row r="197" spans="13:37" x14ac:dyDescent="0.25">
      <c r="M197" s="75" t="s">
        <v>63</v>
      </c>
      <c r="P197" s="126">
        <f>P192-P194</f>
        <v>0.5642094017094017</v>
      </c>
      <c r="Q197" s="126">
        <f>Q192-Q194</f>
        <v>2.1841259640102813</v>
      </c>
      <c r="R197" s="126">
        <f>R192-R194</f>
        <v>0.44999999999999929</v>
      </c>
      <c r="T197" s="126">
        <f>T192-T194</f>
        <v>3.1992924528301891</v>
      </c>
      <c r="U197" s="126">
        <f>U192-U194</f>
        <v>0.43909348441926355</v>
      </c>
      <c r="V197" s="126">
        <f>V192-V194</f>
        <v>0.14999999999999947</v>
      </c>
      <c r="X197" s="126">
        <f>X192-X194</f>
        <v>-2.5456721915285438</v>
      </c>
      <c r="Y197" s="126">
        <f>Y192-Y194</f>
        <v>-6.8353591160220981</v>
      </c>
      <c r="Z197" s="126">
        <f>Z192-Z194</f>
        <v>-5.4799999999999995</v>
      </c>
      <c r="AB197" s="126">
        <f>AB192-AB194</f>
        <v>1.2178296630110452</v>
      </c>
      <c r="AC197" s="126">
        <f>AC192-AC194</f>
        <v>-4.2121396675925524</v>
      </c>
      <c r="AD197" s="126">
        <f>AD192-AD194</f>
        <v>-4.8800000000000026</v>
      </c>
      <c r="AI197" s="126" t="e">
        <f>AI192-AI194</f>
        <v>#VALUE!</v>
      </c>
      <c r="AK197" s="126">
        <f>AK192-AK194</f>
        <v>-4.8800000000000026</v>
      </c>
    </row>
    <row r="199" spans="13:37" x14ac:dyDescent="0.25">
      <c r="M199" s="75" t="s">
        <v>64</v>
      </c>
    </row>
    <row r="200" spans="13:37" x14ac:dyDescent="0.25">
      <c r="M200" s="75" t="s">
        <v>65</v>
      </c>
      <c r="P200" s="126">
        <f>(21034/+P186)/12</f>
        <v>2.2472222222222222</v>
      </c>
      <c r="Q200" s="126">
        <f>20657/778/12</f>
        <v>2.2126178234790062</v>
      </c>
      <c r="R200" s="126">
        <v>2.15</v>
      </c>
      <c r="T200" s="126">
        <f>(20847/T186)/12</f>
        <v>1.6389150943396225</v>
      </c>
      <c r="U200" s="126">
        <f>16313/1059/12</f>
        <v>1.2836795719231979</v>
      </c>
      <c r="V200" s="126">
        <v>1.3</v>
      </c>
      <c r="X200" s="126">
        <f>(26466/X186)/12</f>
        <v>2.4370165745856354</v>
      </c>
      <c r="Y200" s="126">
        <f>26417/905/12</f>
        <v>2.4325046040515654</v>
      </c>
      <c r="Z200" s="126">
        <v>2.5299999999999998</v>
      </c>
      <c r="AB200" s="127">
        <f>P200+T200+X200</f>
        <v>6.3231538911474807</v>
      </c>
      <c r="AC200" s="127">
        <f>Q200+U200+Y200</f>
        <v>5.9288019994537695</v>
      </c>
      <c r="AD200" s="127">
        <f>R200+V200+Z200</f>
        <v>5.98</v>
      </c>
      <c r="AI200" s="126" t="e">
        <v>#VALUE!</v>
      </c>
      <c r="AK200" s="126">
        <f>Z200+V200+R200</f>
        <v>5.98</v>
      </c>
    </row>
    <row r="201" spans="13:37" x14ac:dyDescent="0.25">
      <c r="P201" s="128" t="s">
        <v>62</v>
      </c>
      <c r="Q201" s="128" t="s">
        <v>62</v>
      </c>
      <c r="R201" s="128" t="s">
        <v>62</v>
      </c>
      <c r="T201" s="128" t="s">
        <v>62</v>
      </c>
      <c r="U201" s="128" t="s">
        <v>62</v>
      </c>
      <c r="V201" s="128" t="s">
        <v>62</v>
      </c>
      <c r="X201" s="128" t="s">
        <v>62</v>
      </c>
      <c r="Y201" s="128" t="s">
        <v>62</v>
      </c>
      <c r="Z201" s="128" t="s">
        <v>62</v>
      </c>
      <c r="AB201" s="128" t="s">
        <v>62</v>
      </c>
      <c r="AC201" s="128" t="s">
        <v>62</v>
      </c>
      <c r="AD201" s="128" t="s">
        <v>62</v>
      </c>
      <c r="AI201" s="124" t="s">
        <v>23</v>
      </c>
      <c r="AK201" s="124" t="s">
        <v>23</v>
      </c>
    </row>
    <row r="203" spans="13:37" x14ac:dyDescent="0.25">
      <c r="M203" s="75" t="s">
        <v>65</v>
      </c>
    </row>
    <row r="204" spans="13:37" x14ac:dyDescent="0.25">
      <c r="M204" s="75" t="s">
        <v>66</v>
      </c>
      <c r="P204" s="125">
        <f>P200+P197</f>
        <v>2.8114316239316239</v>
      </c>
      <c r="Q204" s="125">
        <f>Q200+Q197</f>
        <v>4.396743787489287</v>
      </c>
      <c r="R204" s="125">
        <f>R200+R197</f>
        <v>2.5999999999999992</v>
      </c>
      <c r="T204" s="125">
        <f>T200+T197</f>
        <v>4.8382075471698114</v>
      </c>
      <c r="U204" s="125">
        <f>U200+U197</f>
        <v>1.7227730563424615</v>
      </c>
      <c r="V204" s="125">
        <f>V200+V197</f>
        <v>1.4499999999999995</v>
      </c>
      <c r="X204" s="125">
        <f>X200+X197</f>
        <v>-0.10865561694290848</v>
      </c>
      <c r="Y204" s="125">
        <f>Y200+Y197</f>
        <v>-4.4028545119705331</v>
      </c>
      <c r="Z204" s="125">
        <f>Z200+Z197</f>
        <v>-2.9499999999999997</v>
      </c>
      <c r="AB204" s="125">
        <f>AB200+AB197</f>
        <v>7.5409835541585259</v>
      </c>
      <c r="AC204" s="125">
        <f>AC200+AC197</f>
        <v>1.7166623318612171</v>
      </c>
      <c r="AD204" s="125">
        <f>AD200+AD197</f>
        <v>1.0999999999999979</v>
      </c>
      <c r="AI204" s="125" t="e">
        <f>AI200+AI197</f>
        <v>#VALUE!</v>
      </c>
      <c r="AK204" s="125">
        <f>AK200+AK197</f>
        <v>1.0999999999999979</v>
      </c>
    </row>
    <row r="205" spans="13:37" x14ac:dyDescent="0.25">
      <c r="P205" s="129" t="s">
        <v>67</v>
      </c>
      <c r="Q205" s="129" t="s">
        <v>67</v>
      </c>
      <c r="R205" s="129" t="s">
        <v>67</v>
      </c>
      <c r="T205" s="129" t="s">
        <v>67</v>
      </c>
      <c r="U205" s="129" t="s">
        <v>67</v>
      </c>
      <c r="V205" s="129" t="s">
        <v>67</v>
      </c>
      <c r="X205" s="129" t="s">
        <v>67</v>
      </c>
      <c r="Y205" s="129" t="s">
        <v>67</v>
      </c>
      <c r="Z205" s="129" t="s">
        <v>67</v>
      </c>
      <c r="AB205" s="129" t="s">
        <v>67</v>
      </c>
      <c r="AC205" s="129" t="s">
        <v>67</v>
      </c>
      <c r="AD205" s="129" t="s">
        <v>67</v>
      </c>
      <c r="AI205" s="130" t="s">
        <v>68</v>
      </c>
      <c r="AK205" s="130" t="s">
        <v>68</v>
      </c>
    </row>
    <row r="209" spans="13:13" x14ac:dyDescent="0.25">
      <c r="M209" s="75" t="s">
        <v>69</v>
      </c>
    </row>
    <row r="1512" spans="13:13" x14ac:dyDescent="0.25">
      <c r="M1512" s="75" t="s">
        <v>70</v>
      </c>
    </row>
    <row r="1513" spans="13:13" x14ac:dyDescent="0.25">
      <c r="M1513" s="75" t="s">
        <v>71</v>
      </c>
    </row>
  </sheetData>
  <pageMargins left="0.25" right="0.25" top="0.25" bottom="0.25" header="0.25" footer="0"/>
  <pageSetup scale="95" orientation="portrait" r:id="rId1"/>
  <headerFooter alignWithMargins="0">
    <oddFooter>&amp;L&amp;"Times New Roman,Regular"&amp;9&amp;D &amp;C&amp;"Times New Roman,Regular"&amp;9&amp;Z&amp;F&amp;R&amp;"Times New Roman,Regular"&amp;9&amp;A</oddFooter>
  </headerFooter>
  <rowBreaks count="4" manualBreakCount="4">
    <brk id="44" max="16383" man="1"/>
    <brk id="99" max="16383" man="1"/>
    <brk id="133" max="16383" man="1"/>
    <brk id="180"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dimension ref="A1:AH662"/>
  <sheetViews>
    <sheetView view="pageBreakPreview" topLeftCell="A31" zoomScale="90" zoomScaleNormal="75" zoomScaleSheetLayoutView="90" workbookViewId="0">
      <selection activeCell="J65" sqref="J65"/>
    </sheetView>
  </sheetViews>
  <sheetFormatPr defaultColWidth="9.77734375" defaultRowHeight="15.75" x14ac:dyDescent="0.25"/>
  <cols>
    <col min="1" max="1" width="34.5546875" style="1" customWidth="1"/>
    <col min="2" max="2" width="11.5546875" style="91" customWidth="1"/>
    <col min="3" max="3" width="1.77734375" style="1" customWidth="1"/>
    <col min="4" max="4" width="10.77734375" style="21" customWidth="1"/>
    <col min="5" max="5" width="1.77734375" style="1" customWidth="1"/>
    <col min="6" max="6" width="11" style="21" customWidth="1"/>
    <col min="7" max="7" width="2" style="1" customWidth="1"/>
    <col min="8" max="8" width="10.88671875" style="21" customWidth="1"/>
    <col min="9" max="9" width="1.77734375" style="1" customWidth="1"/>
    <col min="10" max="10" width="10.44140625" style="21" customWidth="1"/>
    <col min="11" max="11" width="1.77734375" style="1" customWidth="1"/>
    <col min="12" max="12" width="9.88671875" style="21" customWidth="1"/>
    <col min="13" max="13" width="1.77734375" style="1" customWidth="1"/>
    <col min="14" max="14" width="12.77734375" style="21" customWidth="1"/>
    <col min="15" max="15" width="1.77734375" style="1" customWidth="1"/>
    <col min="16" max="16" width="11" style="21" bestFit="1" customWidth="1"/>
    <col min="17" max="17" width="3.77734375" style="1" customWidth="1"/>
    <col min="18" max="18" width="9.88671875" style="1" bestFit="1" customWidth="1"/>
    <col min="19" max="16384" width="9.77734375" style="1"/>
  </cols>
  <sheetData>
    <row r="1" spans="1:16" ht="15" customHeight="1" x14ac:dyDescent="0.25">
      <c r="F1" s="24" t="s">
        <v>72</v>
      </c>
    </row>
    <row r="2" spans="1:16" ht="15" customHeight="1" x14ac:dyDescent="0.25">
      <c r="A2" s="18" t="s">
        <v>45</v>
      </c>
      <c r="B2" s="119"/>
      <c r="C2" s="19"/>
      <c r="D2" s="17"/>
      <c r="E2" s="19"/>
      <c r="G2" s="17"/>
      <c r="H2" s="19"/>
      <c r="I2" s="17"/>
      <c r="J2" s="19"/>
      <c r="K2" s="17"/>
      <c r="L2" s="19"/>
      <c r="M2" s="17"/>
      <c r="N2" s="19"/>
      <c r="O2" s="17"/>
      <c r="P2" s="19"/>
    </row>
    <row r="3" spans="1:16" ht="15" customHeight="1" x14ac:dyDescent="0.25">
      <c r="A3" s="18" t="s">
        <v>214</v>
      </c>
      <c r="B3" s="119"/>
      <c r="C3" s="19"/>
      <c r="D3" s="17"/>
      <c r="E3" s="19"/>
      <c r="G3" s="17"/>
      <c r="H3" s="19"/>
      <c r="I3" s="17"/>
      <c r="J3" s="19"/>
      <c r="K3" s="17"/>
      <c r="L3" s="19"/>
      <c r="M3" s="17"/>
      <c r="N3" s="19"/>
      <c r="O3" s="17"/>
      <c r="P3" s="19"/>
    </row>
    <row r="4" spans="1:16" ht="15" customHeight="1" x14ac:dyDescent="0.25">
      <c r="A4" s="20">
        <v>44469</v>
      </c>
      <c r="B4" s="119"/>
      <c r="C4" s="19"/>
      <c r="D4" s="17"/>
      <c r="E4" s="19"/>
      <c r="G4" s="17"/>
      <c r="H4" s="19"/>
      <c r="I4" s="17"/>
      <c r="J4" s="19"/>
      <c r="K4" s="17"/>
      <c r="L4" s="19"/>
      <c r="M4" s="17"/>
      <c r="N4" s="19"/>
      <c r="O4" s="17"/>
      <c r="P4" s="19"/>
    </row>
    <row r="5" spans="1:16" ht="15" customHeight="1" x14ac:dyDescent="0.25"/>
    <row r="6" spans="1:16" ht="15" customHeight="1" x14ac:dyDescent="0.25">
      <c r="G6" s="22"/>
    </row>
    <row r="7" spans="1:16" ht="17.25" customHeight="1" x14ac:dyDescent="0.25">
      <c r="A7" s="74"/>
      <c r="B7" s="271" t="s">
        <v>210</v>
      </c>
      <c r="C7" s="144"/>
      <c r="D7" s="272"/>
      <c r="E7" s="144"/>
      <c r="F7" s="272"/>
      <c r="G7" s="22"/>
      <c r="H7" s="23"/>
      <c r="I7" s="5"/>
      <c r="J7" s="23" t="s">
        <v>547</v>
      </c>
      <c r="K7" s="5"/>
      <c r="L7" s="23"/>
      <c r="M7" s="5"/>
      <c r="N7" s="23"/>
      <c r="O7" s="5"/>
      <c r="P7" s="23"/>
    </row>
    <row r="8" spans="1:16" ht="15" customHeight="1" x14ac:dyDescent="0.25">
      <c r="A8" s="74"/>
      <c r="B8" s="273"/>
      <c r="C8" s="74"/>
      <c r="D8" s="150"/>
      <c r="E8" s="74"/>
      <c r="F8" s="150"/>
      <c r="G8" s="22"/>
      <c r="J8" s="24" t="s">
        <v>73</v>
      </c>
      <c r="L8" s="24" t="s">
        <v>74</v>
      </c>
      <c r="N8" s="24" t="s">
        <v>75</v>
      </c>
    </row>
    <row r="9" spans="1:16" ht="15" customHeight="1" x14ac:dyDescent="0.25">
      <c r="A9" s="74"/>
      <c r="B9" s="274">
        <v>2019</v>
      </c>
      <c r="C9" s="275"/>
      <c r="D9" s="276">
        <v>2020</v>
      </c>
      <c r="E9" s="275"/>
      <c r="F9" s="276">
        <f>D9+1</f>
        <v>2021</v>
      </c>
      <c r="G9" s="22"/>
      <c r="H9" s="24" t="s">
        <v>76</v>
      </c>
      <c r="J9" s="24" t="s">
        <v>77</v>
      </c>
      <c r="L9" s="24" t="s">
        <v>78</v>
      </c>
      <c r="N9" s="24" t="s">
        <v>79</v>
      </c>
      <c r="P9" s="24" t="s">
        <v>80</v>
      </c>
    </row>
    <row r="10" spans="1:16" ht="17.25" customHeight="1" x14ac:dyDescent="0.25">
      <c r="A10" s="74"/>
      <c r="B10" s="215" t="s">
        <v>81</v>
      </c>
      <c r="C10" s="74"/>
      <c r="D10" s="277" t="s">
        <v>82</v>
      </c>
      <c r="E10" s="74"/>
      <c r="F10" s="277" t="s">
        <v>83</v>
      </c>
      <c r="G10" s="22"/>
      <c r="H10" s="27" t="s">
        <v>84</v>
      </c>
      <c r="J10" s="27" t="s">
        <v>85</v>
      </c>
      <c r="L10" s="27" t="s">
        <v>84</v>
      </c>
      <c r="N10" s="28" t="s">
        <v>84</v>
      </c>
      <c r="P10" s="27" t="s">
        <v>84</v>
      </c>
    </row>
    <row r="11" spans="1:16" ht="15" customHeight="1" x14ac:dyDescent="0.25">
      <c r="A11" s="146" t="s">
        <v>0</v>
      </c>
      <c r="B11" s="273"/>
      <c r="C11" s="74"/>
      <c r="D11" s="150"/>
      <c r="E11" s="74"/>
      <c r="F11" s="150"/>
      <c r="G11" s="22"/>
    </row>
    <row r="12" spans="1:16" ht="15" customHeight="1" x14ac:dyDescent="0.25">
      <c r="A12" s="74" t="s">
        <v>1</v>
      </c>
      <c r="B12" s="408">
        <f>'General Fund'!C10+'Sales Tax Funds'!N12</f>
        <v>820722</v>
      </c>
      <c r="C12" s="409"/>
      <c r="D12" s="408">
        <f>'General Fund'!E10+'Sales Tax Funds'!P12</f>
        <v>937299</v>
      </c>
      <c r="E12" s="409"/>
      <c r="F12" s="408">
        <f>'General Fund'!G10+'Sales Tax Funds'!R12</f>
        <v>878500</v>
      </c>
      <c r="G12" s="22"/>
      <c r="H12" s="29">
        <f>'General Fund'!G10</f>
        <v>173500</v>
      </c>
      <c r="J12" s="29">
        <f>'Sales Tax Funds'!R12</f>
        <v>705000</v>
      </c>
      <c r="L12" s="251">
        <f>0</f>
        <v>0</v>
      </c>
      <c r="M12" s="174"/>
      <c r="N12" s="251">
        <v>0</v>
      </c>
      <c r="O12" s="251"/>
      <c r="P12" s="251">
        <v>0</v>
      </c>
    </row>
    <row r="13" spans="1:16" ht="15" customHeight="1" x14ac:dyDescent="0.25">
      <c r="A13" s="74" t="s">
        <v>2</v>
      </c>
      <c r="B13" s="410">
        <f>'General Fund'!C11</f>
        <v>127496</v>
      </c>
      <c r="C13" s="411"/>
      <c r="D13" s="410">
        <f>'General Fund'!E11</f>
        <v>116094</v>
      </c>
      <c r="E13" s="411"/>
      <c r="F13" s="410">
        <f>'General Fund'!G11</f>
        <v>114400</v>
      </c>
      <c r="G13" s="31"/>
      <c r="H13" s="379">
        <f>'General Fund'!G11</f>
        <v>114400</v>
      </c>
      <c r="I13" s="4"/>
      <c r="J13" s="181">
        <v>0</v>
      </c>
      <c r="K13" s="181"/>
      <c r="L13" s="181">
        <v>0</v>
      </c>
      <c r="M13" s="181"/>
      <c r="N13" s="181">
        <v>0</v>
      </c>
      <c r="O13" s="181"/>
      <c r="P13" s="181">
        <v>0</v>
      </c>
    </row>
    <row r="14" spans="1:16" ht="15" customHeight="1" x14ac:dyDescent="0.25">
      <c r="A14" s="74" t="s">
        <v>3</v>
      </c>
      <c r="B14" s="410">
        <f>+'General Fund'!C12+'Capital Projects Fund'!E13</f>
        <v>131342</v>
      </c>
      <c r="C14" s="411"/>
      <c r="D14" s="410">
        <f>+'General Fund'!E12+'Capital Projects Fund'!G13</f>
        <v>986349</v>
      </c>
      <c r="E14" s="411"/>
      <c r="F14" s="410">
        <f>+'General Fund'!G12+'Capital Projects Fund'!I13</f>
        <v>101750</v>
      </c>
      <c r="G14" s="31"/>
      <c r="H14" s="30">
        <f>'General Fund'!G12</f>
        <v>101750</v>
      </c>
      <c r="I14" s="4"/>
      <c r="J14" s="181">
        <v>0</v>
      </c>
      <c r="K14" s="181"/>
      <c r="L14" s="181">
        <v>0</v>
      </c>
      <c r="M14" s="181"/>
      <c r="N14" s="181">
        <f>'Capital Projects Fund'!I13</f>
        <v>0</v>
      </c>
      <c r="O14" s="181"/>
      <c r="P14" s="181">
        <v>0</v>
      </c>
    </row>
    <row r="15" spans="1:16" ht="15" customHeight="1" x14ac:dyDescent="0.25">
      <c r="A15" s="74" t="s">
        <v>4</v>
      </c>
      <c r="B15" s="410">
        <f>'General Fund'!C13</f>
        <v>586154</v>
      </c>
      <c r="C15" s="411"/>
      <c r="D15" s="410">
        <f>'General Fund'!E13</f>
        <v>562464</v>
      </c>
      <c r="E15" s="411"/>
      <c r="F15" s="410">
        <f>'General Fund'!G13</f>
        <v>562400</v>
      </c>
      <c r="G15" s="31"/>
      <c r="H15" s="30">
        <f>'General Fund'!G13</f>
        <v>562400</v>
      </c>
      <c r="I15" s="4"/>
      <c r="J15" s="181">
        <v>0</v>
      </c>
      <c r="K15" s="181"/>
      <c r="L15" s="181">
        <v>0</v>
      </c>
      <c r="M15" s="181"/>
      <c r="N15" s="181">
        <v>0</v>
      </c>
      <c r="O15" s="181"/>
      <c r="P15" s="181">
        <v>0</v>
      </c>
    </row>
    <row r="16" spans="1:16" ht="15" customHeight="1" x14ac:dyDescent="0.25">
      <c r="A16" s="74" t="s">
        <v>203</v>
      </c>
      <c r="B16" s="410">
        <f>'Utility Fund'!D10+'Utility Fund'!D11+'Utility Fund'!D12+'Utility Fund'!D13</f>
        <v>1069012</v>
      </c>
      <c r="C16" s="411"/>
      <c r="D16" s="410">
        <f>'Utility Fund'!F10+'Utility Fund'!F11+'Utility Fund'!F12+'Utility Fund'!F13</f>
        <v>1048617</v>
      </c>
      <c r="E16" s="411"/>
      <c r="F16" s="410">
        <f>'Utility Fund'!H10+'Utility Fund'!H11+'Utility Fund'!H12+'Utility Fund'!H13</f>
        <v>1091900</v>
      </c>
      <c r="G16" s="31"/>
      <c r="H16" s="181">
        <v>0</v>
      </c>
      <c r="I16" s="181"/>
      <c r="J16" s="181">
        <v>0</v>
      </c>
      <c r="K16" s="181"/>
      <c r="L16" s="181">
        <v>0</v>
      </c>
      <c r="M16" s="181"/>
      <c r="N16" s="181">
        <v>0</v>
      </c>
      <c r="O16" s="4"/>
      <c r="P16" s="30">
        <f>'Utility Fund'!H15-'Utility Fund'!H14</f>
        <v>1091900</v>
      </c>
    </row>
    <row r="17" spans="1:34" ht="17.25" customHeight="1" x14ac:dyDescent="0.4">
      <c r="A17" s="74" t="s">
        <v>5</v>
      </c>
      <c r="B17" s="412">
        <f>'General Fund'!C14+'Sales Tax Funds'!N13+'Utility Fund'!D14+'Debt Service Funds'!E13</f>
        <v>189657</v>
      </c>
      <c r="C17" s="411"/>
      <c r="D17" s="412">
        <f>'General Fund'!E14+'Sales Tax Funds'!P13+'Utility Fund'!F14+'Debt Service Funds'!G13</f>
        <v>133419</v>
      </c>
      <c r="E17" s="411"/>
      <c r="F17" s="412">
        <f>'General Fund'!G14+'Sales Tax Funds'!R13+'Utility Fund'!H14+'Debt Service Funds'!I13</f>
        <v>72660</v>
      </c>
      <c r="G17" s="31"/>
      <c r="H17" s="44">
        <f>'General Fund'!G14</f>
        <v>41100</v>
      </c>
      <c r="I17" s="4"/>
      <c r="J17" s="44">
        <f>'Sales Tax Funds'!R13</f>
        <v>60</v>
      </c>
      <c r="K17" s="4"/>
      <c r="L17" s="178">
        <f>'Debt Service Funds'!I13</f>
        <v>0</v>
      </c>
      <c r="M17" s="4"/>
      <c r="N17" s="178">
        <v>0</v>
      </c>
      <c r="O17" s="4"/>
      <c r="P17" s="44">
        <f>'Utility Fund'!H14</f>
        <v>31500</v>
      </c>
    </row>
    <row r="18" spans="1:34" ht="17.25" customHeight="1" x14ac:dyDescent="0.4">
      <c r="A18" s="74" t="s">
        <v>6</v>
      </c>
      <c r="B18" s="412">
        <f>SUM(B12:B17)</f>
        <v>2924383</v>
      </c>
      <c r="C18" s="411"/>
      <c r="D18" s="412">
        <f>SUM(D12:D17)</f>
        <v>3784242</v>
      </c>
      <c r="E18" s="411"/>
      <c r="F18" s="412">
        <f>SUM(F12:F17)</f>
        <v>2821610</v>
      </c>
      <c r="G18" s="31"/>
      <c r="H18" s="44">
        <f>SUM(H12:H17)</f>
        <v>993150</v>
      </c>
      <c r="I18" s="4"/>
      <c r="J18" s="44">
        <f>SUM(J12:J17)</f>
        <v>705060</v>
      </c>
      <c r="K18" s="4"/>
      <c r="L18" s="178">
        <f>SUM(L12:L17)</f>
        <v>0</v>
      </c>
      <c r="M18" s="4"/>
      <c r="N18" s="178">
        <f>SUM(N12:N17)</f>
        <v>0</v>
      </c>
      <c r="O18" s="4"/>
      <c r="P18" s="44">
        <f>SUM(P12:P17)</f>
        <v>1123400</v>
      </c>
      <c r="R18" s="48">
        <f>H18+J18+L18+P18</f>
        <v>2821610</v>
      </c>
    </row>
    <row r="19" spans="1:34" ht="9.9499999999999993" customHeight="1" x14ac:dyDescent="0.25">
      <c r="A19" s="74"/>
      <c r="B19" s="410"/>
      <c r="C19" s="411"/>
      <c r="D19" s="410"/>
      <c r="E19" s="411"/>
      <c r="F19" s="410"/>
      <c r="G19" s="31"/>
      <c r="H19" s="30"/>
      <c r="I19" s="4"/>
      <c r="J19" s="30"/>
      <c r="K19" s="4"/>
      <c r="L19" s="30"/>
      <c r="M19" s="4"/>
      <c r="N19" s="30"/>
      <c r="O19" s="4"/>
      <c r="P19" s="30"/>
    </row>
    <row r="20" spans="1:34" ht="15" customHeight="1" x14ac:dyDescent="0.25">
      <c r="A20" s="146" t="s">
        <v>7</v>
      </c>
      <c r="B20" s="410"/>
      <c r="C20" s="411"/>
      <c r="D20" s="410"/>
      <c r="E20" s="411"/>
      <c r="F20" s="410"/>
      <c r="G20" s="31"/>
      <c r="H20" s="30"/>
      <c r="I20" s="4"/>
      <c r="J20" s="30"/>
      <c r="K20" s="4"/>
      <c r="L20" s="30"/>
      <c r="M20" s="4"/>
      <c r="N20" s="30"/>
      <c r="O20" s="4"/>
      <c r="P20" s="30"/>
    </row>
    <row r="21" spans="1:34" ht="15" customHeight="1" x14ac:dyDescent="0.25">
      <c r="A21" s="74" t="s">
        <v>8</v>
      </c>
      <c r="B21" s="410">
        <f>'General Fund'!C18+'Sales Tax Funds'!N20</f>
        <v>284486</v>
      </c>
      <c r="C21" s="411"/>
      <c r="D21" s="410">
        <f>'General Fund'!E18+'Sales Tax Funds'!P20</f>
        <v>261030</v>
      </c>
      <c r="E21" s="411"/>
      <c r="F21" s="410">
        <f>'General Fund'!G18+'Sales Tax Funds'!R20</f>
        <v>208820</v>
      </c>
      <c r="G21" s="31"/>
      <c r="H21" s="30">
        <f>'General Fund'!G18</f>
        <v>172820</v>
      </c>
      <c r="I21" s="4"/>
      <c r="J21" s="30">
        <f>'Sales Tax Funds'!R20</f>
        <v>36000</v>
      </c>
      <c r="K21" s="4"/>
      <c r="L21" s="181">
        <v>0</v>
      </c>
      <c r="M21" s="181"/>
      <c r="N21" s="181">
        <v>0</v>
      </c>
      <c r="O21" s="181"/>
      <c r="P21" s="181">
        <v>0</v>
      </c>
    </row>
    <row r="22" spans="1:34" ht="15" customHeight="1" x14ac:dyDescent="0.25">
      <c r="A22" s="74" t="s">
        <v>9</v>
      </c>
      <c r="B22" s="410">
        <f>'General Fund'!C20</f>
        <v>874166</v>
      </c>
      <c r="C22" s="411"/>
      <c r="D22" s="410">
        <f>'General Fund'!E20</f>
        <v>837440</v>
      </c>
      <c r="E22" s="411"/>
      <c r="F22" s="410">
        <f>'General Fund'!G20</f>
        <v>851900</v>
      </c>
      <c r="G22" s="31"/>
      <c r="H22" s="30">
        <f>'General Fund'!G20</f>
        <v>851900</v>
      </c>
      <c r="I22" s="4"/>
      <c r="J22" s="181">
        <v>0</v>
      </c>
      <c r="K22" s="4"/>
      <c r="L22" s="181">
        <v>0</v>
      </c>
      <c r="M22" s="181"/>
      <c r="N22" s="181">
        <v>0</v>
      </c>
      <c r="O22" s="181"/>
      <c r="P22" s="181">
        <v>0</v>
      </c>
    </row>
    <row r="23" spans="1:34" ht="15" customHeight="1" x14ac:dyDescent="0.4">
      <c r="A23" s="389" t="s">
        <v>10</v>
      </c>
      <c r="B23" s="413">
        <f>'Sales Tax Funds'!N31</f>
        <v>297425</v>
      </c>
      <c r="C23" s="411"/>
      <c r="D23" s="410">
        <f>'Sales Tax Funds'!P31</f>
        <v>281011</v>
      </c>
      <c r="E23" s="411"/>
      <c r="F23" s="410">
        <f>'Sales Tax Funds'!R31</f>
        <v>334400</v>
      </c>
      <c r="G23" s="31"/>
      <c r="H23" s="181">
        <v>0</v>
      </c>
      <c r="I23" s="4"/>
      <c r="J23" s="30">
        <f>'Sales Tax Funds'!R31</f>
        <v>334400</v>
      </c>
      <c r="K23" s="4"/>
      <c r="L23" s="181">
        <v>0</v>
      </c>
      <c r="M23" s="181"/>
      <c r="N23" s="181">
        <v>0</v>
      </c>
      <c r="O23" s="181"/>
      <c r="P23" s="181">
        <v>0</v>
      </c>
      <c r="R23" s="412"/>
      <c r="S23" s="415"/>
      <c r="T23" s="412"/>
      <c r="U23" s="415"/>
      <c r="V23" s="607"/>
      <c r="W23" s="222"/>
      <c r="X23" s="178"/>
      <c r="Y23" s="178"/>
      <c r="Z23" s="178"/>
      <c r="AA23" s="178"/>
      <c r="AB23" s="178"/>
      <c r="AC23" s="178"/>
      <c r="AD23" s="178"/>
      <c r="AE23" s="178"/>
      <c r="AF23" s="178"/>
      <c r="AG23" s="368"/>
      <c r="AH23" s="368"/>
    </row>
    <row r="24" spans="1:34" ht="15" customHeight="1" x14ac:dyDescent="0.25">
      <c r="A24" s="74" t="s">
        <v>11</v>
      </c>
      <c r="B24" s="410">
        <f>'General Fund'!C21+'Sales Tax Funds'!N34</f>
        <v>165321</v>
      </c>
      <c r="C24" s="411"/>
      <c r="D24" s="410">
        <f>'General Fund'!E21+'Sales Tax Funds'!D34</f>
        <v>144681</v>
      </c>
      <c r="E24" s="411"/>
      <c r="F24" s="410">
        <f>'General Fund'!G21+'Sales Tax Funds'!F34</f>
        <v>154897</v>
      </c>
      <c r="G24" s="31"/>
      <c r="H24" s="30">
        <f>'General Fund'!G21</f>
        <v>139397</v>
      </c>
      <c r="I24" s="4"/>
      <c r="J24" s="30">
        <f>'Sales Tax Funds'!R34</f>
        <v>15500</v>
      </c>
      <c r="K24" s="4"/>
      <c r="L24" s="181">
        <v>0</v>
      </c>
      <c r="M24" s="181"/>
      <c r="N24" s="181">
        <v>0</v>
      </c>
      <c r="O24" s="181"/>
      <c r="P24" s="181">
        <v>0</v>
      </c>
    </row>
    <row r="25" spans="1:34" ht="15" customHeight="1" x14ac:dyDescent="0.25">
      <c r="A25" s="74" t="s">
        <v>12</v>
      </c>
      <c r="B25" s="410">
        <f>'Utility Fund'!D39</f>
        <v>1000891</v>
      </c>
      <c r="C25" s="411"/>
      <c r="D25" s="410">
        <f>'Utility Fund'!F39</f>
        <v>1090785</v>
      </c>
      <c r="E25" s="411"/>
      <c r="F25" s="410">
        <f>'Utility Fund'!H39</f>
        <v>1105388</v>
      </c>
      <c r="G25" s="31"/>
      <c r="H25" s="181">
        <v>0</v>
      </c>
      <c r="I25" s="181"/>
      <c r="J25" s="181">
        <v>0</v>
      </c>
      <c r="K25" s="181"/>
      <c r="L25" s="181">
        <v>0</v>
      </c>
      <c r="M25" s="181"/>
      <c r="N25" s="181">
        <v>0</v>
      </c>
      <c r="O25" s="4"/>
      <c r="P25" s="30">
        <f>'Utility Fund'!H39</f>
        <v>1105388</v>
      </c>
    </row>
    <row r="26" spans="1:34" x14ac:dyDescent="0.25">
      <c r="A26" s="74" t="s">
        <v>13</v>
      </c>
      <c r="B26" s="410">
        <f>'General Fund'!C22+'Debt Service Funds'!E20</f>
        <v>19787</v>
      </c>
      <c r="C26" s="414"/>
      <c r="D26" s="410">
        <f>'General Fund'!E22+'Debt Service Funds'!G20</f>
        <v>51892</v>
      </c>
      <c r="E26" s="410"/>
      <c r="F26" s="410">
        <f>'General Fund'!G22+'Debt Service Funds'!I20</f>
        <v>28266</v>
      </c>
      <c r="G26" s="31"/>
      <c r="H26" s="278">
        <f>'General Fund'!G22</f>
        <v>28266</v>
      </c>
      <c r="I26" s="4"/>
      <c r="J26" s="181">
        <v>0</v>
      </c>
      <c r="K26" s="4"/>
      <c r="L26" s="181">
        <f>'Debt Service Funds'!I20</f>
        <v>0</v>
      </c>
      <c r="M26" s="4"/>
      <c r="N26" s="181">
        <v>0</v>
      </c>
      <c r="O26" s="181"/>
      <c r="P26" s="181">
        <v>0</v>
      </c>
    </row>
    <row r="27" spans="1:34" ht="17.25" customHeight="1" x14ac:dyDescent="0.25">
      <c r="A27" s="74" t="s">
        <v>359</v>
      </c>
      <c r="B27" s="410">
        <f>+'General Fund'!C191+'Capital Projects Fund'!E16+'Sales Tax Funds'!N39</f>
        <v>151439</v>
      </c>
      <c r="C27" s="411"/>
      <c r="D27" s="410">
        <f>+'General Fund'!E191+'Capital Projects Fund'!G16+'Sales Tax Funds'!P39</f>
        <v>964928</v>
      </c>
      <c r="E27" s="411"/>
      <c r="F27" s="608">
        <f>+'General Fund'!G191+'Capital Projects Fund'!I16+'Sales Tax Funds'!R39</f>
        <v>0</v>
      </c>
      <c r="G27" s="31"/>
      <c r="H27" s="265">
        <f>'General Fund'!G23</f>
        <v>0</v>
      </c>
      <c r="I27" s="265"/>
      <c r="J27" s="265">
        <f>'Sales Tax Funds'!R39</f>
        <v>0</v>
      </c>
      <c r="K27" s="265"/>
      <c r="L27" s="265">
        <v>0</v>
      </c>
      <c r="M27" s="265"/>
      <c r="N27" s="265">
        <v>0</v>
      </c>
      <c r="O27" s="265"/>
      <c r="P27" s="265">
        <v>0</v>
      </c>
      <c r="T27" s="414"/>
    </row>
    <row r="28" spans="1:34" s="368" customFormat="1" ht="17.25" customHeight="1" x14ac:dyDescent="0.4">
      <c r="A28" s="74" t="s">
        <v>574</v>
      </c>
      <c r="B28" s="607">
        <f>'Capital Projects Fund'!E16</f>
        <v>0</v>
      </c>
      <c r="C28" s="415"/>
      <c r="D28" s="412">
        <f>'Capital Projects Fund'!G16</f>
        <v>884251</v>
      </c>
      <c r="E28" s="415"/>
      <c r="F28" s="607">
        <f>'Capital Projects Fund'!I16</f>
        <v>0</v>
      </c>
      <c r="G28" s="222"/>
      <c r="H28" s="178">
        <v>0</v>
      </c>
      <c r="I28" s="178"/>
      <c r="J28" s="178">
        <v>0</v>
      </c>
      <c r="K28" s="178"/>
      <c r="L28" s="178">
        <v>0</v>
      </c>
      <c r="M28" s="178"/>
      <c r="N28" s="178">
        <f>'Capital Projects Fund'!I16</f>
        <v>0</v>
      </c>
      <c r="O28" s="178"/>
      <c r="P28" s="178">
        <v>0</v>
      </c>
      <c r="T28" s="414"/>
    </row>
    <row r="29" spans="1:34" ht="17.25" customHeight="1" x14ac:dyDescent="0.4">
      <c r="A29" s="74" t="s">
        <v>14</v>
      </c>
      <c r="B29" s="412">
        <f>SUM(B21:B27)</f>
        <v>2793515</v>
      </c>
      <c r="C29" s="411"/>
      <c r="D29" s="412">
        <f>SUM(D21:D27)</f>
        <v>3631767</v>
      </c>
      <c r="E29" s="411"/>
      <c r="F29" s="412">
        <f>SUM(F21:F27)</f>
        <v>2683671</v>
      </c>
      <c r="G29" s="31"/>
      <c r="H29" s="44">
        <f>SUM(H21:H27)</f>
        <v>1192383</v>
      </c>
      <c r="I29" s="4"/>
      <c r="J29" s="44">
        <f>SUM(J21:J27)</f>
        <v>385900</v>
      </c>
      <c r="K29" s="4"/>
      <c r="L29" s="178">
        <f>SUM(L21:L28)</f>
        <v>0</v>
      </c>
      <c r="M29" s="4"/>
      <c r="N29" s="178">
        <f>SUM(N21:N27)</f>
        <v>0</v>
      </c>
      <c r="O29" s="4"/>
      <c r="P29" s="44">
        <f>SUM(P21:P28)</f>
        <v>1105388</v>
      </c>
      <c r="R29" s="48">
        <f>H29+J29+L29+P29</f>
        <v>2683671</v>
      </c>
    </row>
    <row r="30" spans="1:34" ht="9.9499999999999993" customHeight="1" x14ac:dyDescent="0.4">
      <c r="A30" s="74"/>
      <c r="B30" s="410"/>
      <c r="C30" s="411"/>
      <c r="D30" s="410"/>
      <c r="E30" s="411"/>
      <c r="F30" s="410"/>
      <c r="G30" s="31"/>
      <c r="H30" s="30"/>
      <c r="I30" s="4"/>
      <c r="J30" s="30"/>
      <c r="K30" s="4"/>
      <c r="L30" s="178"/>
      <c r="M30" s="4"/>
      <c r="N30" s="30" t="s">
        <v>19</v>
      </c>
      <c r="O30" s="4"/>
      <c r="P30" s="30"/>
    </row>
    <row r="31" spans="1:34" ht="17.25" customHeight="1" x14ac:dyDescent="0.4">
      <c r="A31" s="74" t="s">
        <v>445</v>
      </c>
      <c r="B31" s="412">
        <f>B18-B29</f>
        <v>130868</v>
      </c>
      <c r="C31" s="411"/>
      <c r="D31" s="412">
        <f>D18-D29</f>
        <v>152475</v>
      </c>
      <c r="E31" s="411"/>
      <c r="F31" s="412">
        <f>F18-F29</f>
        <v>137939</v>
      </c>
      <c r="G31" s="31"/>
      <c r="H31" s="44">
        <f>H18-H29</f>
        <v>-199233</v>
      </c>
      <c r="I31" s="4"/>
      <c r="J31" s="44">
        <f>J18-J29</f>
        <v>319160</v>
      </c>
      <c r="K31" s="4"/>
      <c r="L31" s="178">
        <f>L18-L29</f>
        <v>0</v>
      </c>
      <c r="M31" s="4"/>
      <c r="N31" s="178">
        <f>N18-N29</f>
        <v>0</v>
      </c>
      <c r="O31" s="4"/>
      <c r="P31" s="44">
        <f>P18-P29</f>
        <v>18012</v>
      </c>
    </row>
    <row r="32" spans="1:34" ht="9.9499999999999993" customHeight="1" x14ac:dyDescent="0.25">
      <c r="A32" s="74"/>
      <c r="B32" s="278"/>
      <c r="C32" s="145"/>
      <c r="D32" s="278"/>
      <c r="E32" s="145"/>
      <c r="F32" s="278"/>
      <c r="G32" s="31"/>
      <c r="H32" s="30"/>
      <c r="I32" s="4"/>
      <c r="J32" s="30"/>
      <c r="K32" s="4"/>
      <c r="L32" s="30"/>
      <c r="M32" s="4"/>
      <c r="N32" s="30"/>
      <c r="O32" s="4"/>
      <c r="P32" s="30"/>
    </row>
    <row r="33" spans="1:17" ht="15" customHeight="1" x14ac:dyDescent="0.25">
      <c r="A33" s="146" t="s">
        <v>15</v>
      </c>
      <c r="B33" s="278"/>
      <c r="C33" s="145"/>
      <c r="D33" s="278"/>
      <c r="E33" s="145"/>
      <c r="F33" s="278"/>
      <c r="G33" s="31"/>
      <c r="H33" s="30"/>
      <c r="I33" s="4"/>
      <c r="J33" s="30"/>
      <c r="K33" s="4"/>
      <c r="L33" s="30"/>
      <c r="M33" s="4"/>
      <c r="N33" s="30"/>
      <c r="O33" s="4"/>
      <c r="P33" s="30"/>
    </row>
    <row r="34" spans="1:17" s="368" customFormat="1" ht="15" customHeight="1" x14ac:dyDescent="0.25">
      <c r="A34" s="147" t="s">
        <v>544</v>
      </c>
      <c r="B34" s="410">
        <f>'Utility Fund'!D44</f>
        <v>12743</v>
      </c>
      <c r="C34" s="145"/>
      <c r="D34" s="410">
        <f>'Utility Fund'!F44</f>
        <v>5557</v>
      </c>
      <c r="E34" s="145"/>
      <c r="F34" s="414">
        <f>'Utility Fund'!H44</f>
        <v>0</v>
      </c>
      <c r="G34" s="31"/>
      <c r="H34" s="181">
        <v>0</v>
      </c>
      <c r="I34" s="4"/>
      <c r="J34" s="181">
        <v>0</v>
      </c>
      <c r="K34" s="4"/>
      <c r="L34" s="181">
        <v>0</v>
      </c>
      <c r="M34" s="4"/>
      <c r="N34" s="181">
        <v>0</v>
      </c>
      <c r="O34" s="4"/>
      <c r="P34" s="379">
        <f>'Utility Fund'!H44</f>
        <v>0</v>
      </c>
    </row>
    <row r="35" spans="1:17" ht="15" customHeight="1" x14ac:dyDescent="0.25">
      <c r="A35" s="147" t="s">
        <v>499</v>
      </c>
      <c r="B35" s="410">
        <f>'Utility Fund'!D45</f>
        <v>713</v>
      </c>
      <c r="C35" s="411"/>
      <c r="D35" s="414">
        <f>'Utility Fund'!F45</f>
        <v>0</v>
      </c>
      <c r="E35" s="414"/>
      <c r="F35" s="414">
        <f>'Utility Fund'!H45</f>
        <v>0</v>
      </c>
      <c r="G35" s="31"/>
      <c r="H35" s="181">
        <v>0</v>
      </c>
      <c r="I35" s="181"/>
      <c r="J35" s="181">
        <v>0</v>
      </c>
      <c r="K35" s="181"/>
      <c r="L35" s="181">
        <v>0</v>
      </c>
      <c r="M35" s="181"/>
      <c r="N35" s="181">
        <v>0</v>
      </c>
      <c r="O35" s="181"/>
      <c r="P35" s="67">
        <f>'Utility Fund'!H45</f>
        <v>0</v>
      </c>
    </row>
    <row r="36" spans="1:17" s="368" customFormat="1" ht="15" customHeight="1" x14ac:dyDescent="0.25">
      <c r="A36" s="147" t="s">
        <v>508</v>
      </c>
      <c r="B36" s="410">
        <f>'Utility Fund'!D46</f>
        <v>998</v>
      </c>
      <c r="C36" s="411"/>
      <c r="D36" s="414">
        <f>'Utility Fund'!F46</f>
        <v>0</v>
      </c>
      <c r="E36" s="414"/>
      <c r="F36" s="414">
        <f>'Utility Fund'!H46</f>
        <v>0</v>
      </c>
      <c r="G36" s="31"/>
      <c r="H36" s="181">
        <v>0</v>
      </c>
      <c r="I36" s="181"/>
      <c r="J36" s="181">
        <v>0</v>
      </c>
      <c r="K36" s="181"/>
      <c r="L36" s="181">
        <v>0</v>
      </c>
      <c r="M36" s="181"/>
      <c r="N36" s="181">
        <v>0</v>
      </c>
      <c r="O36" s="181"/>
      <c r="P36" s="374">
        <v>0</v>
      </c>
    </row>
    <row r="37" spans="1:17" s="368" customFormat="1" ht="15" customHeight="1" x14ac:dyDescent="0.25">
      <c r="A37" s="147" t="s">
        <v>497</v>
      </c>
      <c r="B37" s="410">
        <f>'Utility Fund'!D47</f>
        <v>-15936</v>
      </c>
      <c r="C37" s="411"/>
      <c r="D37" s="410">
        <f>'Utility Fund'!F47</f>
        <v>-19000</v>
      </c>
      <c r="E37" s="410"/>
      <c r="F37" s="410">
        <f>'Utility Fund'!H47</f>
        <v>-15810</v>
      </c>
      <c r="G37" s="31"/>
      <c r="H37" s="181">
        <v>0</v>
      </c>
      <c r="I37" s="181"/>
      <c r="J37" s="181">
        <v>0</v>
      </c>
      <c r="K37" s="181"/>
      <c r="L37" s="181">
        <v>0</v>
      </c>
      <c r="M37" s="181"/>
      <c r="N37" s="181">
        <v>0</v>
      </c>
      <c r="O37" s="181"/>
      <c r="P37" s="374">
        <f>'Utility Fund'!H47</f>
        <v>-15810</v>
      </c>
    </row>
    <row r="38" spans="1:17" s="368" customFormat="1" ht="15" customHeight="1" x14ac:dyDescent="0.25">
      <c r="A38" s="147" t="s">
        <v>545</v>
      </c>
      <c r="B38" s="410">
        <f>'Utility Fund'!D48</f>
        <v>3903</v>
      </c>
      <c r="C38" s="411"/>
      <c r="D38" s="414">
        <f>'Utility Fund'!F48</f>
        <v>0</v>
      </c>
      <c r="E38" s="410"/>
      <c r="F38" s="414">
        <f>'Utility Fund'!H48</f>
        <v>0</v>
      </c>
      <c r="G38" s="31"/>
      <c r="H38" s="181">
        <v>0</v>
      </c>
      <c r="I38" s="181"/>
      <c r="J38" s="181">
        <v>0</v>
      </c>
      <c r="K38" s="181"/>
      <c r="L38" s="181">
        <v>0</v>
      </c>
      <c r="M38" s="181"/>
      <c r="N38" s="181">
        <v>0</v>
      </c>
      <c r="O38" s="181"/>
      <c r="P38" s="374">
        <v>0</v>
      </c>
    </row>
    <row r="39" spans="1:17" ht="20.25" x14ac:dyDescent="0.55000000000000004">
      <c r="A39" s="147" t="s">
        <v>498</v>
      </c>
      <c r="B39" s="412">
        <f>'Utility Fund'!D49</f>
        <v>-550</v>
      </c>
      <c r="C39" s="412"/>
      <c r="D39" s="412">
        <f>'Utility Fund'!F49</f>
        <v>-550</v>
      </c>
      <c r="E39" s="412"/>
      <c r="F39" s="412">
        <f>'Utility Fund'!H49</f>
        <v>-550</v>
      </c>
      <c r="G39" s="31"/>
      <c r="H39" s="267">
        <v>0</v>
      </c>
      <c r="I39" s="267"/>
      <c r="J39" s="267">
        <v>0</v>
      </c>
      <c r="K39" s="267"/>
      <c r="L39" s="267">
        <v>0</v>
      </c>
      <c r="M39" s="267"/>
      <c r="N39" s="267">
        <v>0</v>
      </c>
      <c r="O39" s="267"/>
      <c r="P39" s="386">
        <f>'Utility Fund'!H49</f>
        <v>-550</v>
      </c>
    </row>
    <row r="40" spans="1:17" ht="17.25" customHeight="1" x14ac:dyDescent="0.4">
      <c r="A40" s="74" t="s">
        <v>548</v>
      </c>
      <c r="B40" s="412">
        <f>SUM(B34:B39)</f>
        <v>1871</v>
      </c>
      <c r="C40" s="411"/>
      <c r="D40" s="412">
        <f>SUM(D34:D39)</f>
        <v>-13993</v>
      </c>
      <c r="E40" s="411"/>
      <c r="F40" s="412">
        <f>SUM(F34:F39)</f>
        <v>-16360</v>
      </c>
      <c r="G40" s="31"/>
      <c r="H40" s="178">
        <f>SUM(H35:H39)</f>
        <v>0</v>
      </c>
      <c r="I40" s="178"/>
      <c r="J40" s="178">
        <f>SUM(J35:J39)</f>
        <v>0</v>
      </c>
      <c r="K40" s="178"/>
      <c r="L40" s="178">
        <f>SUM(L35:L39)</f>
        <v>0</v>
      </c>
      <c r="M40" s="178"/>
      <c r="N40" s="178">
        <f>SUM(N35:N39)</f>
        <v>0</v>
      </c>
      <c r="O40" s="4"/>
      <c r="P40" s="44">
        <f>SUM(P35:P39)</f>
        <v>-16360</v>
      </c>
    </row>
    <row r="41" spans="1:17" ht="9.9499999999999993" customHeight="1" x14ac:dyDescent="0.4">
      <c r="A41" s="74"/>
      <c r="B41" s="410"/>
      <c r="C41" s="411"/>
      <c r="D41" s="410"/>
      <c r="E41" s="411"/>
      <c r="F41" s="410"/>
      <c r="G41" s="31"/>
      <c r="H41" s="30"/>
      <c r="I41" s="4"/>
      <c r="J41" s="30"/>
      <c r="K41" s="4"/>
      <c r="L41" s="178"/>
      <c r="M41" s="4"/>
      <c r="N41" s="30"/>
      <c r="O41" s="4"/>
      <c r="P41" s="30"/>
    </row>
    <row r="42" spans="1:17" ht="17.25" customHeight="1" x14ac:dyDescent="0.55000000000000004">
      <c r="A42" s="281" t="s">
        <v>549</v>
      </c>
      <c r="B42" s="416">
        <f>B31+B40</f>
        <v>132739</v>
      </c>
      <c r="C42" s="417"/>
      <c r="D42" s="416">
        <f>D31+D40</f>
        <v>138482</v>
      </c>
      <c r="E42" s="417"/>
      <c r="F42" s="416">
        <f>F31+F40</f>
        <v>121579</v>
      </c>
      <c r="G42" s="34"/>
      <c r="H42" s="131">
        <f>H31+H40</f>
        <v>-199233</v>
      </c>
      <c r="I42" s="33"/>
      <c r="J42" s="131">
        <f>J31+J40</f>
        <v>319160</v>
      </c>
      <c r="K42" s="33"/>
      <c r="L42" s="178">
        <f>L31+L40</f>
        <v>0</v>
      </c>
      <c r="M42" s="33"/>
      <c r="N42" s="182">
        <f>N31+N40</f>
        <v>0</v>
      </c>
      <c r="O42" s="33"/>
      <c r="P42" s="131">
        <f>P31+P40</f>
        <v>1652</v>
      </c>
      <c r="Q42" s="4"/>
    </row>
    <row r="43" spans="1:17" s="368" customFormat="1" ht="17.25" customHeight="1" x14ac:dyDescent="0.55000000000000004">
      <c r="A43" s="281"/>
      <c r="B43" s="572"/>
      <c r="C43" s="417"/>
      <c r="D43" s="416"/>
      <c r="E43" s="417"/>
      <c r="F43" s="606"/>
      <c r="G43" s="34"/>
      <c r="H43" s="131"/>
      <c r="I43" s="33"/>
      <c r="J43" s="131"/>
      <c r="K43" s="33"/>
      <c r="L43" s="178"/>
      <c r="M43" s="33"/>
      <c r="N43" s="182"/>
      <c r="O43" s="33"/>
      <c r="P43" s="131"/>
      <c r="Q43" s="4"/>
    </row>
    <row r="44" spans="1:17" s="368" customFormat="1" ht="15" customHeight="1" x14ac:dyDescent="0.55000000000000004">
      <c r="A44" s="281" t="s">
        <v>546</v>
      </c>
      <c r="B44" s="572">
        <f>'Utility Fund'!D61</f>
        <v>91865</v>
      </c>
      <c r="C44" s="603"/>
      <c r="D44" s="606">
        <f>'Utility Fund'!F61</f>
        <v>0</v>
      </c>
      <c r="E44" s="572">
        <f>'Utility Fund'!G61</f>
        <v>0</v>
      </c>
      <c r="F44" s="606">
        <f>'Utility Fund'!H61</f>
        <v>0</v>
      </c>
      <c r="G44" s="34"/>
      <c r="H44" s="182">
        <v>0</v>
      </c>
      <c r="I44" s="33"/>
      <c r="J44" s="131">
        <v>0</v>
      </c>
      <c r="K44" s="33"/>
      <c r="L44" s="178">
        <v>0</v>
      </c>
      <c r="M44" s="33"/>
      <c r="N44" s="182">
        <v>0</v>
      </c>
      <c r="O44" s="33"/>
      <c r="P44" s="182">
        <f>'Utility Fund'!H61</f>
        <v>0</v>
      </c>
      <c r="Q44" s="4"/>
    </row>
    <row r="45" spans="1:17" ht="9.9499999999999993" customHeight="1" x14ac:dyDescent="0.25">
      <c r="A45" s="74"/>
      <c r="B45" s="278"/>
      <c r="C45" s="145"/>
      <c r="D45" s="278"/>
      <c r="E45" s="145"/>
      <c r="F45" s="278"/>
      <c r="G45" s="31"/>
      <c r="H45" s="30"/>
      <c r="I45" s="4"/>
      <c r="J45" s="30"/>
      <c r="K45" s="4"/>
      <c r="L45" s="30"/>
      <c r="M45" s="4"/>
      <c r="N45" s="30"/>
      <c r="O45" s="4"/>
      <c r="P45" s="30"/>
    </row>
    <row r="46" spans="1:17" ht="15" customHeight="1" x14ac:dyDescent="0.25">
      <c r="A46" s="146" t="s">
        <v>16</v>
      </c>
      <c r="B46" s="278"/>
      <c r="C46" s="145"/>
      <c r="D46" s="278"/>
      <c r="E46" s="145"/>
      <c r="F46" s="278"/>
      <c r="G46" s="31"/>
      <c r="H46" s="30"/>
      <c r="I46" s="4"/>
      <c r="J46" s="30"/>
      <c r="K46" s="4"/>
      <c r="L46" s="30"/>
      <c r="M46" s="4"/>
      <c r="N46" s="30"/>
      <c r="O46" s="4"/>
      <c r="P46" s="30"/>
    </row>
    <row r="47" spans="1:17" s="368" customFormat="1" ht="15" customHeight="1" x14ac:dyDescent="0.25">
      <c r="A47" s="74" t="s">
        <v>524</v>
      </c>
      <c r="B47" s="410">
        <f>'General Fund'!C29</f>
        <v>90500</v>
      </c>
      <c r="C47" s="411"/>
      <c r="D47" s="414">
        <f>'General Fund'!E29</f>
        <v>0</v>
      </c>
      <c r="E47" s="411"/>
      <c r="F47" s="414">
        <f>'General Fund'!G29</f>
        <v>0</v>
      </c>
      <c r="G47" s="31"/>
      <c r="H47" s="379"/>
      <c r="I47" s="4"/>
      <c r="J47" s="379"/>
      <c r="K47" s="4"/>
      <c r="L47" s="379"/>
      <c r="M47" s="4"/>
      <c r="N47" s="379"/>
      <c r="O47" s="4"/>
      <c r="P47" s="379"/>
    </row>
    <row r="48" spans="1:17" ht="15" customHeight="1" x14ac:dyDescent="0.25">
      <c r="A48" s="74" t="s">
        <v>212</v>
      </c>
      <c r="B48" s="410">
        <f>+'General Fund'!C30+'Sales Tax Funds'!B47+'Debt Service Funds'!E26+'Utility Fund'!D55</f>
        <v>897602</v>
      </c>
      <c r="C48" s="411"/>
      <c r="D48" s="410">
        <f>+'General Fund'!E30+'Sales Tax Funds'!D47+'Debt Service Funds'!G26+'Utility Fund'!F55</f>
        <v>855000</v>
      </c>
      <c r="E48" s="411"/>
      <c r="F48" s="410">
        <f>+'General Fund'!G30+'Sales Tax Funds'!F47+'Debt Service Funds'!I26+'Utility Fund'!H55</f>
        <v>710000</v>
      </c>
      <c r="G48" s="31"/>
      <c r="H48" s="30">
        <f>'General Fund'!G30</f>
        <v>200000</v>
      </c>
      <c r="I48" s="4"/>
      <c r="J48" s="379">
        <f>'Sales Tax Funds'!R47</f>
        <v>280000</v>
      </c>
      <c r="K48" s="181"/>
      <c r="L48" s="181">
        <f>'Debt Service Funds'!I26</f>
        <v>0</v>
      </c>
      <c r="M48" s="4"/>
      <c r="N48" s="181">
        <v>0</v>
      </c>
      <c r="O48" s="4"/>
      <c r="P48" s="30">
        <f>'Utility Fund'!H55</f>
        <v>230000</v>
      </c>
    </row>
    <row r="49" spans="1:18" ht="17.25" customHeight="1" x14ac:dyDescent="0.4">
      <c r="A49" s="74" t="s">
        <v>213</v>
      </c>
      <c r="B49" s="412">
        <f>'Sales Tax Funds'!N48+'Sales Tax Funds'!N49+'Utility Fund'!D56</f>
        <v>-897602</v>
      </c>
      <c r="C49" s="411"/>
      <c r="D49" s="412">
        <f>'Sales Tax Funds'!P48+'Sales Tax Funds'!P49+'Utility Fund'!F56</f>
        <v>-855000</v>
      </c>
      <c r="E49" s="418"/>
      <c r="F49" s="412">
        <f>'Sales Tax Funds'!R48+'Sales Tax Funds'!R49+'Utility Fund'!H56</f>
        <v>-710000</v>
      </c>
      <c r="G49" s="31"/>
      <c r="H49" s="178">
        <v>0</v>
      </c>
      <c r="I49" s="4"/>
      <c r="J49" s="310">
        <f>'Sales Tax Funds'!R48+'Sales Tax Funds'!R49</f>
        <v>-510000</v>
      </c>
      <c r="K49" s="178"/>
      <c r="L49" s="178">
        <v>0</v>
      </c>
      <c r="M49" s="4"/>
      <c r="N49" s="178">
        <v>0</v>
      </c>
      <c r="O49" s="4"/>
      <c r="P49" s="44">
        <f>'Utility Fund'!H56</f>
        <v>-200000</v>
      </c>
    </row>
    <row r="50" spans="1:18" ht="17.25" customHeight="1" x14ac:dyDescent="0.4">
      <c r="A50" s="74" t="s">
        <v>17</v>
      </c>
      <c r="B50" s="412">
        <f>SUM(B47:B49)</f>
        <v>90500</v>
      </c>
      <c r="C50" s="411"/>
      <c r="D50" s="420">
        <f>SUM(D47:D49)</f>
        <v>0</v>
      </c>
      <c r="E50" s="421"/>
      <c r="F50" s="419">
        <f>SUM(F47:F49)</f>
        <v>0</v>
      </c>
      <c r="G50" s="31"/>
      <c r="H50" s="44">
        <f>SUM(H48:H49)</f>
        <v>200000</v>
      </c>
      <c r="I50" s="4"/>
      <c r="J50" s="380">
        <f>SUM(J48:J49)</f>
        <v>-230000</v>
      </c>
      <c r="K50" s="178"/>
      <c r="L50" s="178">
        <f>SUM(L48:L49)</f>
        <v>0</v>
      </c>
      <c r="M50" s="4"/>
      <c r="N50" s="178">
        <f>SUM(N48:N49)</f>
        <v>0</v>
      </c>
      <c r="O50" s="4"/>
      <c r="P50" s="44">
        <f>SUM(P48:P49)</f>
        <v>30000</v>
      </c>
    </row>
    <row r="51" spans="1:18" ht="9.9499999999999993" customHeight="1" x14ac:dyDescent="0.25">
      <c r="A51" s="74"/>
      <c r="B51" s="278"/>
      <c r="C51" s="145"/>
      <c r="D51" s="278"/>
      <c r="E51" s="145"/>
      <c r="F51" s="278"/>
      <c r="G51" s="31"/>
      <c r="H51" s="30"/>
      <c r="I51" s="4"/>
      <c r="J51" s="30"/>
      <c r="K51" s="4"/>
      <c r="L51" s="30"/>
      <c r="M51" s="4"/>
      <c r="N51" s="30"/>
      <c r="O51" s="4"/>
      <c r="P51" s="30"/>
    </row>
    <row r="52" spans="1:18" ht="15" customHeight="1" x14ac:dyDescent="0.25">
      <c r="A52" s="146" t="s">
        <v>160</v>
      </c>
      <c r="B52" s="280"/>
      <c r="C52" s="279"/>
      <c r="D52" s="280"/>
      <c r="E52" s="279"/>
      <c r="F52" s="280"/>
      <c r="G52" s="34"/>
      <c r="H52" s="132"/>
      <c r="I52" s="33"/>
      <c r="J52" s="132"/>
      <c r="K52" s="33"/>
      <c r="L52" s="132"/>
      <c r="M52" s="33"/>
      <c r="N52" s="132"/>
      <c r="O52" s="33"/>
      <c r="P52" s="132"/>
    </row>
    <row r="53" spans="1:18" ht="15" customHeight="1" x14ac:dyDescent="0.25">
      <c r="A53" s="146" t="s">
        <v>269</v>
      </c>
      <c r="B53" s="280"/>
      <c r="C53" s="279"/>
      <c r="D53" s="280"/>
      <c r="E53" s="279"/>
      <c r="F53" s="280"/>
      <c r="G53" s="34"/>
      <c r="H53" s="132"/>
      <c r="I53" s="33"/>
      <c r="J53" s="132"/>
      <c r="K53" s="33"/>
      <c r="L53" s="132"/>
      <c r="M53" s="33"/>
      <c r="N53" s="132"/>
      <c r="O53" s="33"/>
      <c r="P53" s="132"/>
    </row>
    <row r="54" spans="1:18" ht="15" customHeight="1" x14ac:dyDescent="0.25">
      <c r="A54" s="146" t="s">
        <v>87</v>
      </c>
      <c r="B54" s="422">
        <f>B42+B44+B50</f>
        <v>315104</v>
      </c>
      <c r="C54" s="423"/>
      <c r="D54" s="422">
        <f>D42+D44+D50</f>
        <v>138482</v>
      </c>
      <c r="E54" s="423"/>
      <c r="F54" s="422">
        <f>F42+F44+F50</f>
        <v>121579</v>
      </c>
      <c r="G54" s="34"/>
      <c r="H54" s="132">
        <f>H42+H50</f>
        <v>767</v>
      </c>
      <c r="I54" s="33"/>
      <c r="J54" s="132">
        <f>J42+J50</f>
        <v>89160</v>
      </c>
      <c r="K54" s="33"/>
      <c r="L54" s="181">
        <f>L42+L50</f>
        <v>0</v>
      </c>
      <c r="M54" s="181"/>
      <c r="N54" s="181">
        <f>N42+N50</f>
        <v>0</v>
      </c>
      <c r="O54" s="33"/>
      <c r="P54" s="132">
        <f>P42+P50</f>
        <v>31652</v>
      </c>
    </row>
    <row r="55" spans="1:18" ht="9.9499999999999993" customHeight="1" x14ac:dyDescent="0.25">
      <c r="A55" s="74"/>
      <c r="B55" s="410"/>
      <c r="C55" s="411"/>
      <c r="D55" s="410"/>
      <c r="E55" s="411"/>
      <c r="F55" s="410"/>
      <c r="G55" s="31"/>
      <c r="H55" s="30"/>
      <c r="I55" s="4"/>
      <c r="J55" s="30"/>
      <c r="K55" s="4"/>
      <c r="L55" s="30"/>
      <c r="M55" s="4"/>
      <c r="N55" s="30"/>
      <c r="O55" s="4"/>
      <c r="P55" s="30"/>
    </row>
    <row r="56" spans="1:18" ht="17.25" customHeight="1" x14ac:dyDescent="0.4">
      <c r="A56" s="146" t="s">
        <v>267</v>
      </c>
      <c r="B56" s="412">
        <f>'General Fund'!C36+'Sales Tax Funds'!N57+'Debt Service Funds'!E31+'Utility Fund'!D65+'Capital Projects Fund'!E20</f>
        <v>4400554</v>
      </c>
      <c r="C56" s="411"/>
      <c r="D56" s="418">
        <f>'General Fund'!E36+'Sales Tax Funds'!P57+'Capital Projects Fund'!G20+'Utility Fund'!F65+'Debt Service Funds'!G31</f>
        <v>4715658</v>
      </c>
      <c r="E56" s="411"/>
      <c r="F56" s="418">
        <f>'General Fund'!G36+'Sales Tax Funds'!R57+'Capital Projects Fund'!I20+'Utility Fund'!H65+'Debt Service Funds'!I31</f>
        <v>4854140</v>
      </c>
      <c r="G56" s="31"/>
      <c r="H56" s="44">
        <f>'General Fund'!G36</f>
        <v>198756</v>
      </c>
      <c r="I56" s="4"/>
      <c r="J56" s="44">
        <f>'Sales Tax Funds'!R57</f>
        <v>492112</v>
      </c>
      <c r="K56" s="4"/>
      <c r="L56" s="178">
        <f>'Debt Service Funds'!I31</f>
        <v>0</v>
      </c>
      <c r="M56" s="4"/>
      <c r="N56" s="178">
        <v>0</v>
      </c>
      <c r="O56" s="4"/>
      <c r="P56" s="44">
        <f>'Utility Fund'!H65</f>
        <v>4163272</v>
      </c>
    </row>
    <row r="57" spans="1:18" ht="9.9499999999999993" customHeight="1" x14ac:dyDescent="0.25">
      <c r="A57" s="74"/>
      <c r="B57" s="410"/>
      <c r="C57" s="411"/>
      <c r="D57" s="410"/>
      <c r="E57" s="411"/>
      <c r="F57" s="410"/>
      <c r="G57" s="31"/>
      <c r="H57" s="30"/>
      <c r="I57" s="4"/>
      <c r="J57" s="30"/>
      <c r="K57" s="4"/>
      <c r="L57" s="30"/>
      <c r="M57" s="4"/>
      <c r="N57" s="30"/>
      <c r="O57" s="4"/>
      <c r="P57" s="30"/>
    </row>
    <row r="58" spans="1:18" ht="17.25" customHeight="1" x14ac:dyDescent="0.4">
      <c r="A58" s="146" t="s">
        <v>268</v>
      </c>
      <c r="B58" s="424">
        <f>SUM(B54:B57)</f>
        <v>4715658</v>
      </c>
      <c r="C58" s="409"/>
      <c r="D58" s="425">
        <f>SUM(D54:D57)</f>
        <v>4854140</v>
      </c>
      <c r="E58" s="409"/>
      <c r="F58" s="425">
        <f>SUM(F54:F57)</f>
        <v>4975719</v>
      </c>
      <c r="G58" s="22"/>
      <c r="H58" s="134">
        <f>H56+H54</f>
        <v>199523</v>
      </c>
      <c r="J58" s="134">
        <f>J56+J54</f>
        <v>581272</v>
      </c>
      <c r="L58" s="180">
        <f>L56+L54</f>
        <v>0</v>
      </c>
      <c r="N58" s="180">
        <f>N56+N54</f>
        <v>0</v>
      </c>
      <c r="P58" s="134">
        <f>P54+P56</f>
        <v>4194924</v>
      </c>
      <c r="R58" s="167">
        <f>SUM(H58:P58)</f>
        <v>4975719</v>
      </c>
    </row>
    <row r="59" spans="1:18" x14ac:dyDescent="0.25">
      <c r="B59" s="426"/>
      <c r="C59" s="427"/>
      <c r="D59" s="428"/>
      <c r="E59" s="427"/>
      <c r="F59" s="428"/>
      <c r="G59" s="22"/>
    </row>
    <row r="60" spans="1:18" x14ac:dyDescent="0.25">
      <c r="A60" s="1" t="s">
        <v>19</v>
      </c>
      <c r="B60" s="426">
        <f>'General Fund'!C38+'Sales Tax Funds'!N58+'Debt Service Funds'!E33+'Capital Projects Fund'!E22+'Utility Fund'!D67</f>
        <v>4715658</v>
      </c>
      <c r="C60" s="427"/>
      <c r="D60" s="426">
        <f>'General Fund'!E38+'Sales Tax Funds'!P58+'Debt Service Funds'!G33+'Capital Projects Fund'!G22+'Utility Fund'!F67</f>
        <v>4854140</v>
      </c>
      <c r="E60" s="427"/>
      <c r="F60" s="426">
        <f>'General Fund'!G38+'Sales Tax Funds'!R58+'Debt Service Funds'!I33+'Capital Projects Fund'!I22+'Utility Fund'!H67</f>
        <v>4975719</v>
      </c>
    </row>
    <row r="61" spans="1:18" x14ac:dyDescent="0.25">
      <c r="A61" s="1" t="s">
        <v>19</v>
      </c>
    </row>
    <row r="62" spans="1:18" x14ac:dyDescent="0.25">
      <c r="A62" s="36"/>
      <c r="B62" s="37">
        <f>B60-B58</f>
        <v>0</v>
      </c>
      <c r="C62" s="36"/>
      <c r="D62" s="37">
        <f>D60-D58</f>
        <v>0</v>
      </c>
      <c r="E62" s="36"/>
      <c r="F62" s="37">
        <f>F60-F58</f>
        <v>0</v>
      </c>
      <c r="G62" s="36"/>
      <c r="H62" s="37"/>
      <c r="I62" s="36"/>
      <c r="J62" s="37"/>
      <c r="K62" s="36"/>
      <c r="L62" s="37"/>
      <c r="M62" s="36"/>
      <c r="N62" s="37"/>
      <c r="O62" s="36"/>
      <c r="P62" s="37"/>
      <c r="Q62" s="36"/>
      <c r="R62" s="36"/>
    </row>
    <row r="63" spans="1:18" x14ac:dyDescent="0.25">
      <c r="A63" s="36"/>
      <c r="C63" s="38"/>
      <c r="D63" s="37"/>
      <c r="E63" s="36"/>
      <c r="F63" s="37"/>
      <c r="G63" s="36"/>
      <c r="H63" s="37"/>
      <c r="I63" s="36"/>
      <c r="J63" s="37"/>
      <c r="K63" s="36"/>
      <c r="L63" s="37"/>
      <c r="M63" s="36"/>
      <c r="N63" s="37"/>
      <c r="O63" s="36"/>
      <c r="P63" s="37"/>
      <c r="Q63" s="36"/>
      <c r="R63" s="36"/>
    </row>
    <row r="64" spans="1:18" x14ac:dyDescent="0.25">
      <c r="A64" s="36"/>
      <c r="B64" s="91">
        <f>-12223+327327</f>
        <v>315104</v>
      </c>
      <c r="C64" s="36"/>
      <c r="D64" s="37"/>
      <c r="E64" s="36"/>
      <c r="F64" s="37"/>
      <c r="G64" s="36"/>
      <c r="H64" s="37"/>
      <c r="I64" s="36"/>
      <c r="J64" s="37"/>
      <c r="K64" s="36"/>
      <c r="L64" s="37"/>
      <c r="M64" s="36"/>
      <c r="N64" s="37"/>
      <c r="O64" s="36"/>
      <c r="P64" s="37"/>
      <c r="Q64" s="36"/>
      <c r="R64" s="36"/>
    </row>
    <row r="65" spans="1:18" x14ac:dyDescent="0.25">
      <c r="A65" s="36"/>
      <c r="C65" s="36"/>
      <c r="D65" s="37"/>
      <c r="E65" s="36"/>
      <c r="F65" s="37"/>
      <c r="G65" s="36"/>
      <c r="H65" s="37"/>
      <c r="I65" s="36"/>
      <c r="J65" s="37"/>
      <c r="K65" s="36"/>
      <c r="L65" s="37"/>
      <c r="M65" s="36"/>
      <c r="N65" s="37"/>
      <c r="O65" s="36"/>
      <c r="P65" s="37"/>
      <c r="Q65" s="36"/>
      <c r="R65" s="36"/>
    </row>
    <row r="66" spans="1:18" x14ac:dyDescent="0.25">
      <c r="A66" s="36"/>
      <c r="C66" s="36"/>
      <c r="D66" s="37"/>
      <c r="E66" s="36"/>
      <c r="F66" s="37"/>
      <c r="G66" s="36"/>
      <c r="H66" s="37"/>
      <c r="I66" s="36"/>
      <c r="J66" s="37"/>
      <c r="K66" s="36"/>
      <c r="L66" s="37"/>
      <c r="M66" s="36"/>
      <c r="N66" s="37"/>
      <c r="O66" s="36"/>
      <c r="P66" s="37"/>
      <c r="Q66" s="36"/>
      <c r="R66" s="36"/>
    </row>
    <row r="67" spans="1:18" x14ac:dyDescent="0.25">
      <c r="A67" s="36"/>
      <c r="C67" s="36"/>
      <c r="D67" s="37"/>
      <c r="E67" s="36"/>
      <c r="F67" s="37"/>
      <c r="G67" s="36"/>
      <c r="H67" s="37"/>
      <c r="I67" s="36"/>
      <c r="J67" s="37"/>
      <c r="K67" s="36"/>
      <c r="L67" s="37"/>
      <c r="M67" s="36"/>
      <c r="N67" s="37"/>
      <c r="O67" s="36"/>
      <c r="P67" s="37"/>
      <c r="Q67" s="36"/>
      <c r="R67" s="36"/>
    </row>
    <row r="68" spans="1:18" x14ac:dyDescent="0.25">
      <c r="A68" s="36"/>
      <c r="C68" s="36"/>
      <c r="D68" s="37"/>
      <c r="E68" s="36"/>
      <c r="F68" s="37"/>
      <c r="G68" s="36"/>
      <c r="H68" s="37"/>
      <c r="I68" s="36"/>
      <c r="J68" s="37"/>
      <c r="K68" s="36"/>
      <c r="L68" s="37"/>
      <c r="M68" s="36"/>
      <c r="N68" s="37"/>
      <c r="O68" s="36"/>
      <c r="P68" s="37"/>
      <c r="Q68" s="36"/>
      <c r="R68" s="36"/>
    </row>
    <row r="69" spans="1:18" x14ac:dyDescent="0.25">
      <c r="A69" s="36"/>
      <c r="C69" s="36"/>
      <c r="D69" s="37"/>
      <c r="E69" s="36"/>
      <c r="F69" s="37"/>
      <c r="G69" s="36"/>
      <c r="H69" s="37"/>
      <c r="I69" s="36"/>
      <c r="J69" s="39"/>
      <c r="K69" s="36"/>
      <c r="L69" s="39"/>
      <c r="M69" s="36"/>
      <c r="N69" s="39"/>
      <c r="O69" s="36"/>
      <c r="P69" s="37"/>
      <c r="Q69" s="36"/>
      <c r="R69" s="36"/>
    </row>
    <row r="70" spans="1:18" x14ac:dyDescent="0.25">
      <c r="A70" s="36"/>
      <c r="C70" s="36"/>
      <c r="D70" s="37"/>
      <c r="E70" s="36"/>
      <c r="F70" s="37"/>
      <c r="G70" s="36"/>
      <c r="H70" s="39"/>
      <c r="I70" s="36"/>
      <c r="J70" s="39"/>
      <c r="K70" s="36"/>
      <c r="L70" s="39"/>
      <c r="M70" s="36"/>
      <c r="N70" s="39"/>
      <c r="O70" s="36"/>
      <c r="P70" s="39"/>
      <c r="Q70" s="36"/>
      <c r="R70" s="36"/>
    </row>
    <row r="71" spans="1:18" x14ac:dyDescent="0.25">
      <c r="A71" s="36"/>
      <c r="C71" s="36"/>
      <c r="D71" s="37"/>
      <c r="E71" s="36"/>
      <c r="F71" s="37"/>
      <c r="G71" s="36"/>
      <c r="H71" s="39"/>
      <c r="I71" s="36"/>
      <c r="J71" s="39"/>
      <c r="K71" s="36"/>
      <c r="L71" s="39"/>
      <c r="M71" s="36"/>
      <c r="N71" s="39"/>
      <c r="O71" s="36"/>
      <c r="P71" s="39"/>
      <c r="Q71" s="36"/>
      <c r="R71" s="7"/>
    </row>
    <row r="72" spans="1:18" x14ac:dyDescent="0.25">
      <c r="A72" s="36"/>
      <c r="C72" s="36"/>
      <c r="D72" s="37"/>
      <c r="E72" s="36"/>
      <c r="F72" s="37"/>
      <c r="G72" s="36"/>
      <c r="H72" s="37"/>
      <c r="I72" s="36"/>
      <c r="J72" s="37"/>
      <c r="K72" s="36"/>
      <c r="L72" s="37"/>
      <c r="M72" s="36"/>
      <c r="N72" s="37"/>
      <c r="O72" s="36"/>
      <c r="P72" s="37"/>
      <c r="Q72" s="36"/>
      <c r="R72" s="36"/>
    </row>
    <row r="73" spans="1:18" x14ac:dyDescent="0.25">
      <c r="A73" s="36"/>
      <c r="C73" s="36"/>
      <c r="D73" s="37"/>
      <c r="E73" s="36"/>
      <c r="F73" s="37"/>
      <c r="G73" s="36"/>
      <c r="H73" s="37"/>
      <c r="I73" s="36"/>
      <c r="J73" s="37"/>
      <c r="K73" s="36"/>
      <c r="L73" s="37"/>
      <c r="M73" s="36"/>
      <c r="N73" s="37"/>
      <c r="O73" s="36"/>
      <c r="P73" s="37"/>
      <c r="Q73" s="36"/>
      <c r="R73" s="36"/>
    </row>
    <row r="74" spans="1:18" x14ac:dyDescent="0.25">
      <c r="A74" s="36"/>
      <c r="C74" s="36"/>
      <c r="D74" s="37"/>
      <c r="E74" s="36"/>
      <c r="F74" s="37"/>
      <c r="G74" s="36"/>
      <c r="H74" s="37"/>
      <c r="I74" s="36"/>
      <c r="J74" s="37"/>
      <c r="K74" s="36"/>
      <c r="L74" s="37"/>
      <c r="M74" s="36"/>
      <c r="N74" s="37"/>
      <c r="O74" s="36"/>
      <c r="P74" s="37"/>
      <c r="Q74" s="36"/>
      <c r="R74" s="36"/>
    </row>
    <row r="75" spans="1:18" x14ac:dyDescent="0.25">
      <c r="A75" s="36"/>
      <c r="C75" s="36"/>
      <c r="D75" s="37"/>
      <c r="E75" s="36"/>
      <c r="F75" s="37"/>
      <c r="G75" s="36"/>
      <c r="H75" s="37"/>
      <c r="I75" s="36"/>
      <c r="J75" s="37"/>
      <c r="K75" s="36"/>
      <c r="L75" s="37"/>
      <c r="M75" s="36"/>
      <c r="N75" s="37"/>
      <c r="O75" s="36"/>
      <c r="P75" s="37"/>
      <c r="Q75" s="36"/>
      <c r="R75" s="36"/>
    </row>
    <row r="76" spans="1:18" x14ac:dyDescent="0.25">
      <c r="A76" s="36"/>
      <c r="C76" s="36"/>
      <c r="D76" s="37"/>
      <c r="E76" s="36"/>
      <c r="F76" s="37"/>
      <c r="G76" s="36"/>
      <c r="H76" s="37"/>
      <c r="I76" s="36"/>
      <c r="J76" s="37"/>
      <c r="K76" s="36"/>
      <c r="L76" s="37"/>
      <c r="M76" s="36"/>
      <c r="N76" s="37"/>
      <c r="O76" s="36"/>
      <c r="P76" s="37"/>
      <c r="Q76" s="36"/>
      <c r="R76" s="36"/>
    </row>
    <row r="77" spans="1:18" x14ac:dyDescent="0.25">
      <c r="A77" s="36"/>
      <c r="C77" s="36"/>
      <c r="D77" s="37"/>
      <c r="E77" s="36"/>
      <c r="F77" s="37"/>
      <c r="G77" s="36"/>
      <c r="H77" s="37"/>
      <c r="I77" s="36"/>
      <c r="J77" s="37"/>
      <c r="K77" s="36"/>
      <c r="L77" s="37"/>
      <c r="M77" s="36"/>
      <c r="N77" s="37"/>
      <c r="O77" s="36"/>
      <c r="P77" s="37"/>
      <c r="Q77" s="36"/>
      <c r="R77" s="40"/>
    </row>
    <row r="78" spans="1:18" x14ac:dyDescent="0.25">
      <c r="A78" s="36"/>
      <c r="C78" s="36"/>
      <c r="D78" s="37"/>
      <c r="E78" s="36"/>
      <c r="F78" s="37"/>
      <c r="G78" s="36"/>
      <c r="H78" s="37"/>
      <c r="I78" s="36"/>
      <c r="J78" s="37"/>
      <c r="K78" s="36"/>
      <c r="L78" s="37"/>
      <c r="M78" s="36"/>
      <c r="N78" s="37"/>
      <c r="O78" s="36"/>
      <c r="P78" s="37"/>
      <c r="Q78" s="36"/>
      <c r="R78" s="36"/>
    </row>
    <row r="79" spans="1:18" x14ac:dyDescent="0.25">
      <c r="A79" s="36"/>
      <c r="C79" s="36"/>
      <c r="D79" s="37"/>
      <c r="E79" s="36"/>
      <c r="F79" s="37"/>
      <c r="G79" s="41"/>
      <c r="H79" s="37"/>
      <c r="I79" s="36"/>
      <c r="J79" s="37"/>
      <c r="K79" s="36"/>
      <c r="L79" s="37"/>
      <c r="M79" s="36"/>
      <c r="N79" s="37"/>
      <c r="O79" s="36"/>
      <c r="P79" s="37"/>
      <c r="Q79" s="36"/>
      <c r="R79" s="36"/>
    </row>
    <row r="80" spans="1:18" x14ac:dyDescent="0.25">
      <c r="A80" s="36"/>
      <c r="C80" s="36"/>
      <c r="D80" s="37"/>
      <c r="E80" s="36"/>
      <c r="F80" s="37"/>
      <c r="G80" s="42"/>
      <c r="H80" s="37"/>
      <c r="I80" s="36"/>
      <c r="J80" s="37"/>
      <c r="K80" s="36"/>
      <c r="L80" s="37"/>
      <c r="M80" s="36"/>
      <c r="N80" s="37"/>
      <c r="O80" s="36"/>
      <c r="P80" s="37"/>
      <c r="Q80" s="36"/>
      <c r="R80" s="36"/>
    </row>
    <row r="81" spans="1:18" x14ac:dyDescent="0.25">
      <c r="A81" s="36"/>
      <c r="C81" s="36"/>
      <c r="D81" s="37"/>
      <c r="E81" s="36"/>
      <c r="F81" s="37"/>
      <c r="G81" s="42"/>
      <c r="H81" s="37"/>
      <c r="I81" s="36"/>
      <c r="J81" s="37"/>
      <c r="K81" s="36"/>
      <c r="L81" s="37"/>
      <c r="M81" s="36"/>
      <c r="N81" s="37"/>
      <c r="O81" s="36"/>
      <c r="P81" s="37"/>
      <c r="Q81" s="36"/>
      <c r="R81" s="36"/>
    </row>
    <row r="82" spans="1:18" x14ac:dyDescent="0.25">
      <c r="A82" s="36"/>
      <c r="C82" s="36"/>
      <c r="D82" s="37"/>
      <c r="E82" s="36"/>
      <c r="F82" s="37"/>
      <c r="G82" s="42"/>
      <c r="H82" s="37"/>
      <c r="I82" s="36"/>
      <c r="J82" s="37"/>
      <c r="K82" s="36"/>
      <c r="L82" s="37"/>
      <c r="M82" s="36"/>
      <c r="N82" s="37"/>
      <c r="O82" s="36"/>
      <c r="P82" s="37"/>
      <c r="Q82" s="36"/>
      <c r="R82" s="36"/>
    </row>
    <row r="83" spans="1:18" x14ac:dyDescent="0.25">
      <c r="A83" s="36"/>
      <c r="C83" s="36"/>
      <c r="D83" s="37"/>
      <c r="E83" s="36"/>
      <c r="F83" s="37"/>
      <c r="G83" s="42"/>
      <c r="H83" s="37"/>
      <c r="I83" s="36"/>
      <c r="J83" s="37"/>
      <c r="K83" s="36"/>
      <c r="L83" s="37"/>
      <c r="M83" s="36"/>
      <c r="N83" s="37"/>
      <c r="O83" s="36"/>
      <c r="P83" s="37"/>
      <c r="Q83" s="36"/>
      <c r="R83" s="36"/>
    </row>
    <row r="84" spans="1:18" x14ac:dyDescent="0.25">
      <c r="A84" s="36"/>
      <c r="C84" s="36"/>
      <c r="D84" s="37"/>
      <c r="E84" s="36"/>
      <c r="F84" s="37"/>
      <c r="G84" s="36"/>
      <c r="H84" s="37"/>
      <c r="I84" s="36"/>
      <c r="J84" s="37"/>
      <c r="K84" s="36"/>
      <c r="L84" s="37"/>
      <c r="M84" s="36"/>
      <c r="N84" s="37"/>
      <c r="O84" s="36"/>
      <c r="P84" s="37"/>
      <c r="Q84" s="36"/>
      <c r="R84" s="36"/>
    </row>
    <row r="85" spans="1:18" x14ac:dyDescent="0.25">
      <c r="A85" s="36"/>
      <c r="C85" s="36"/>
      <c r="D85" s="37"/>
      <c r="E85" s="36"/>
      <c r="F85" s="37"/>
      <c r="G85" s="36"/>
      <c r="H85" s="37"/>
      <c r="I85" s="36"/>
      <c r="J85" s="37"/>
      <c r="K85" s="36"/>
      <c r="L85" s="37"/>
      <c r="M85" s="36"/>
      <c r="N85" s="37"/>
      <c r="O85" s="36"/>
      <c r="P85" s="37"/>
      <c r="Q85" s="36"/>
      <c r="R85" s="36"/>
    </row>
    <row r="86" spans="1:18" x14ac:dyDescent="0.25">
      <c r="A86" s="36"/>
      <c r="C86" s="36"/>
      <c r="D86" s="37"/>
      <c r="E86" s="36"/>
      <c r="F86" s="37"/>
      <c r="G86" s="36"/>
      <c r="H86" s="37"/>
      <c r="I86" s="36"/>
      <c r="J86" s="37"/>
      <c r="K86" s="36"/>
      <c r="L86" s="37"/>
      <c r="M86" s="36"/>
      <c r="N86" s="37"/>
      <c r="O86" s="36"/>
      <c r="P86" s="37"/>
      <c r="Q86" s="36"/>
      <c r="R86" s="36"/>
    </row>
    <row r="87" spans="1:18" x14ac:dyDescent="0.25">
      <c r="A87" s="36"/>
      <c r="C87" s="36"/>
      <c r="D87" s="37"/>
      <c r="E87" s="36"/>
      <c r="F87" s="37"/>
      <c r="G87" s="36"/>
      <c r="H87" s="37"/>
      <c r="I87" s="36"/>
      <c r="J87" s="37"/>
      <c r="K87" s="36"/>
      <c r="L87" s="37"/>
      <c r="M87" s="36"/>
      <c r="N87" s="37"/>
      <c r="O87" s="36"/>
      <c r="P87" s="37"/>
      <c r="Q87" s="36"/>
      <c r="R87" s="36"/>
    </row>
    <row r="88" spans="1:18" x14ac:dyDescent="0.25">
      <c r="A88" s="36"/>
      <c r="C88" s="36"/>
      <c r="D88" s="37"/>
      <c r="E88" s="36"/>
      <c r="F88" s="37"/>
      <c r="G88" s="36"/>
      <c r="H88" s="37"/>
      <c r="I88" s="36"/>
      <c r="J88" s="37"/>
      <c r="K88" s="36"/>
      <c r="L88" s="37"/>
      <c r="M88" s="36"/>
      <c r="N88" s="37"/>
      <c r="O88" s="36"/>
      <c r="P88" s="37"/>
      <c r="Q88" s="36"/>
      <c r="R88" s="36"/>
    </row>
    <row r="89" spans="1:18" x14ac:dyDescent="0.25">
      <c r="A89" s="36"/>
      <c r="C89" s="36"/>
      <c r="D89" s="37"/>
      <c r="E89" s="36"/>
      <c r="F89" s="37"/>
      <c r="G89" s="36"/>
      <c r="H89" s="37"/>
      <c r="I89" s="36"/>
      <c r="J89" s="37"/>
      <c r="K89" s="36"/>
      <c r="L89" s="37"/>
      <c r="M89" s="36"/>
      <c r="N89" s="37"/>
      <c r="O89" s="36"/>
      <c r="P89" s="37"/>
      <c r="Q89" s="36"/>
      <c r="R89" s="36"/>
    </row>
    <row r="90" spans="1:18" x14ac:dyDescent="0.25">
      <c r="A90" s="36"/>
      <c r="C90" s="36"/>
      <c r="D90" s="37"/>
      <c r="E90" s="36"/>
      <c r="F90" s="37"/>
      <c r="G90" s="36"/>
      <c r="H90" s="37"/>
      <c r="I90" s="36"/>
      <c r="J90" s="37"/>
      <c r="K90" s="36"/>
      <c r="L90" s="37"/>
      <c r="M90" s="36"/>
      <c r="N90" s="37"/>
      <c r="O90" s="36"/>
      <c r="P90" s="37"/>
      <c r="Q90" s="36"/>
      <c r="R90" s="36"/>
    </row>
    <row r="91" spans="1:18" x14ac:dyDescent="0.25">
      <c r="A91" s="36"/>
      <c r="C91" s="36"/>
      <c r="D91" s="37"/>
      <c r="E91" s="36"/>
      <c r="F91" s="37"/>
      <c r="G91" s="36"/>
      <c r="H91" s="37"/>
      <c r="I91" s="36"/>
      <c r="J91" s="37"/>
      <c r="K91" s="36"/>
      <c r="L91" s="37"/>
      <c r="M91" s="36"/>
      <c r="N91" s="37"/>
      <c r="O91" s="36"/>
      <c r="P91" s="37"/>
      <c r="Q91" s="36"/>
      <c r="R91" s="36"/>
    </row>
    <row r="92" spans="1:18" x14ac:dyDescent="0.25">
      <c r="A92" s="36"/>
      <c r="C92" s="36"/>
      <c r="D92" s="37"/>
      <c r="E92" s="36"/>
      <c r="F92" s="37"/>
      <c r="G92" s="36"/>
      <c r="H92" s="37"/>
      <c r="I92" s="36"/>
      <c r="J92" s="37"/>
      <c r="K92" s="36"/>
      <c r="L92" s="37"/>
      <c r="M92" s="36"/>
      <c r="N92" s="37"/>
      <c r="O92" s="36"/>
      <c r="P92" s="37"/>
      <c r="Q92" s="36"/>
      <c r="R92" s="36"/>
    </row>
    <row r="93" spans="1:18" x14ac:dyDescent="0.25">
      <c r="A93" s="36"/>
      <c r="C93" s="36"/>
      <c r="D93" s="37"/>
      <c r="E93" s="36"/>
      <c r="F93" s="37"/>
      <c r="G93" s="36"/>
      <c r="H93" s="37"/>
      <c r="I93" s="36"/>
      <c r="J93" s="37"/>
      <c r="K93" s="36"/>
      <c r="L93" s="37"/>
      <c r="M93" s="36"/>
      <c r="N93" s="37"/>
      <c r="O93" s="36"/>
      <c r="P93" s="37"/>
      <c r="Q93" s="36"/>
      <c r="R93" s="36"/>
    </row>
    <row r="94" spans="1:18" x14ac:dyDescent="0.25">
      <c r="A94" s="36"/>
      <c r="C94" s="36"/>
      <c r="D94" s="37"/>
      <c r="E94" s="36"/>
      <c r="F94" s="37"/>
      <c r="G94" s="36"/>
      <c r="H94" s="37"/>
      <c r="I94" s="36"/>
      <c r="J94" s="37"/>
      <c r="K94" s="36"/>
      <c r="L94" s="37"/>
      <c r="M94" s="36"/>
      <c r="N94" s="37"/>
      <c r="O94" s="36"/>
      <c r="P94" s="37"/>
      <c r="Q94" s="36"/>
      <c r="R94" s="36"/>
    </row>
    <row r="95" spans="1:18" x14ac:dyDescent="0.25">
      <c r="A95" s="36"/>
      <c r="C95" s="36"/>
      <c r="D95" s="37"/>
      <c r="E95" s="36"/>
      <c r="F95" s="37"/>
      <c r="G95" s="36"/>
      <c r="H95" s="37"/>
      <c r="I95" s="36"/>
      <c r="J95" s="37"/>
      <c r="K95" s="36"/>
      <c r="L95" s="37"/>
      <c r="M95" s="36"/>
      <c r="N95" s="37"/>
      <c r="O95" s="36"/>
      <c r="P95" s="37"/>
      <c r="Q95" s="36"/>
      <c r="R95" s="36"/>
    </row>
    <row r="96" spans="1:18" x14ac:dyDescent="0.25">
      <c r="A96" s="36"/>
      <c r="C96" s="36"/>
      <c r="D96" s="37"/>
      <c r="E96" s="36"/>
      <c r="F96" s="37"/>
      <c r="G96" s="36"/>
      <c r="H96" s="37"/>
      <c r="I96" s="36"/>
      <c r="J96" s="37"/>
      <c r="K96" s="36"/>
      <c r="L96" s="37"/>
      <c r="M96" s="36"/>
      <c r="N96" s="37"/>
      <c r="O96" s="36"/>
      <c r="P96" s="37"/>
      <c r="Q96" s="36"/>
      <c r="R96" s="36"/>
    </row>
    <row r="97" spans="1:18" x14ac:dyDescent="0.25">
      <c r="A97" s="36"/>
      <c r="C97" s="36"/>
      <c r="D97" s="37"/>
      <c r="E97" s="36"/>
      <c r="F97" s="37"/>
      <c r="G97" s="36"/>
      <c r="H97" s="37"/>
      <c r="I97" s="36"/>
      <c r="J97" s="37"/>
      <c r="K97" s="36"/>
      <c r="L97" s="37"/>
      <c r="M97" s="36"/>
      <c r="N97" s="37"/>
      <c r="O97" s="36"/>
      <c r="P97" s="37"/>
      <c r="Q97" s="36"/>
      <c r="R97" s="36"/>
    </row>
    <row r="98" spans="1:18" x14ac:dyDescent="0.25">
      <c r="A98" s="36"/>
      <c r="C98" s="36"/>
      <c r="D98" s="37"/>
      <c r="E98" s="36"/>
      <c r="F98" s="37"/>
      <c r="G98" s="36"/>
      <c r="H98" s="37"/>
      <c r="I98" s="36"/>
      <c r="J98" s="37"/>
      <c r="K98" s="36"/>
      <c r="L98" s="37"/>
      <c r="M98" s="36"/>
      <c r="N98" s="37"/>
      <c r="O98" s="36"/>
      <c r="P98" s="37"/>
      <c r="Q98" s="36"/>
      <c r="R98" s="36"/>
    </row>
    <row r="99" spans="1:18" x14ac:dyDescent="0.25">
      <c r="A99" s="36"/>
      <c r="C99" s="36"/>
      <c r="D99" s="37"/>
      <c r="E99" s="36"/>
      <c r="F99" s="37"/>
      <c r="G99" s="36"/>
      <c r="H99" s="37"/>
      <c r="I99" s="36"/>
      <c r="J99" s="37"/>
      <c r="K99" s="36"/>
      <c r="L99" s="37"/>
      <c r="M99" s="36"/>
      <c r="N99" s="37"/>
      <c r="O99" s="36"/>
      <c r="P99" s="37"/>
      <c r="Q99" s="36"/>
      <c r="R99" s="36"/>
    </row>
    <row r="100" spans="1:18" x14ac:dyDescent="0.25">
      <c r="A100" s="36"/>
      <c r="C100" s="36"/>
      <c r="D100" s="37"/>
      <c r="E100" s="36"/>
      <c r="F100" s="37"/>
      <c r="G100" s="36"/>
      <c r="H100" s="37"/>
      <c r="I100" s="36"/>
      <c r="J100" s="37"/>
      <c r="K100" s="36"/>
      <c r="L100" s="37"/>
      <c r="M100" s="36"/>
      <c r="N100" s="37"/>
      <c r="O100" s="36"/>
      <c r="P100" s="37"/>
      <c r="Q100" s="36"/>
      <c r="R100" s="36"/>
    </row>
    <row r="101" spans="1:18" x14ac:dyDescent="0.25">
      <c r="A101" s="36"/>
      <c r="C101" s="36"/>
      <c r="D101" s="37"/>
      <c r="E101" s="36"/>
      <c r="F101" s="37"/>
      <c r="G101" s="36"/>
      <c r="H101" s="37"/>
      <c r="I101" s="36"/>
      <c r="J101" s="37"/>
      <c r="K101" s="36"/>
      <c r="L101" s="37"/>
      <c r="M101" s="36"/>
      <c r="N101" s="37"/>
      <c r="O101" s="36"/>
      <c r="P101" s="37"/>
      <c r="Q101" s="36"/>
      <c r="R101" s="36"/>
    </row>
    <row r="102" spans="1:18" x14ac:dyDescent="0.25">
      <c r="A102" s="36"/>
      <c r="C102" s="36"/>
      <c r="D102" s="37"/>
      <c r="E102" s="36"/>
      <c r="F102" s="37"/>
      <c r="G102" s="36"/>
      <c r="H102" s="37"/>
      <c r="I102" s="36"/>
      <c r="J102" s="37"/>
      <c r="K102" s="36"/>
      <c r="L102" s="37"/>
      <c r="M102" s="36"/>
      <c r="N102" s="37"/>
      <c r="O102" s="36"/>
      <c r="P102" s="37"/>
      <c r="Q102" s="36"/>
      <c r="R102" s="36"/>
    </row>
    <row r="103" spans="1:18" x14ac:dyDescent="0.25">
      <c r="A103" s="36"/>
      <c r="C103" s="36"/>
      <c r="D103" s="37"/>
      <c r="E103" s="36"/>
      <c r="F103" s="37"/>
      <c r="G103" s="36"/>
      <c r="H103" s="37"/>
      <c r="I103" s="36"/>
      <c r="J103" s="37"/>
      <c r="K103" s="36"/>
      <c r="L103" s="37"/>
      <c r="M103" s="36"/>
      <c r="N103" s="37"/>
      <c r="O103" s="36"/>
      <c r="P103" s="37"/>
      <c r="Q103" s="36"/>
      <c r="R103" s="36"/>
    </row>
    <row r="104" spans="1:18" x14ac:dyDescent="0.25">
      <c r="A104" s="36"/>
      <c r="C104" s="36"/>
      <c r="D104" s="37"/>
      <c r="E104" s="36"/>
      <c r="F104" s="37"/>
      <c r="G104" s="36"/>
      <c r="H104" s="37"/>
      <c r="I104" s="36"/>
      <c r="J104" s="37"/>
      <c r="K104" s="36"/>
      <c r="L104" s="37"/>
      <c r="M104" s="36"/>
      <c r="N104" s="37"/>
      <c r="O104" s="36"/>
      <c r="P104" s="37"/>
      <c r="Q104" s="36"/>
      <c r="R104" s="36"/>
    </row>
    <row r="105" spans="1:18" x14ac:dyDescent="0.25">
      <c r="A105" s="36"/>
      <c r="C105" s="36"/>
      <c r="D105" s="37"/>
      <c r="E105" s="36"/>
      <c r="F105" s="37"/>
      <c r="G105" s="36"/>
      <c r="H105" s="37"/>
      <c r="I105" s="36"/>
      <c r="J105" s="37"/>
      <c r="K105" s="36"/>
      <c r="L105" s="37"/>
      <c r="M105" s="36"/>
      <c r="N105" s="37"/>
      <c r="O105" s="36"/>
      <c r="P105" s="37"/>
      <c r="Q105" s="36"/>
      <c r="R105" s="36"/>
    </row>
    <row r="106" spans="1:18" x14ac:dyDescent="0.25">
      <c r="A106" s="36"/>
      <c r="C106" s="36"/>
      <c r="D106" s="37"/>
      <c r="E106" s="36"/>
      <c r="F106" s="37"/>
      <c r="G106" s="36"/>
      <c r="H106" s="37"/>
      <c r="I106" s="36"/>
      <c r="J106" s="37"/>
      <c r="K106" s="36"/>
      <c r="L106" s="37"/>
      <c r="M106" s="36"/>
      <c r="N106" s="37"/>
      <c r="O106" s="36"/>
      <c r="P106" s="37"/>
      <c r="Q106" s="36"/>
      <c r="R106" s="36"/>
    </row>
    <row r="107" spans="1:18" x14ac:dyDescent="0.25">
      <c r="A107" s="36"/>
      <c r="C107" s="36"/>
      <c r="D107" s="37"/>
      <c r="E107" s="36"/>
      <c r="F107" s="37"/>
      <c r="G107" s="36"/>
      <c r="H107" s="37"/>
      <c r="I107" s="36"/>
      <c r="J107" s="37"/>
      <c r="K107" s="36"/>
      <c r="L107" s="37"/>
      <c r="M107" s="36"/>
      <c r="N107" s="37"/>
      <c r="O107" s="36"/>
      <c r="P107" s="37"/>
      <c r="Q107" s="36"/>
      <c r="R107" s="36"/>
    </row>
    <row r="108" spans="1:18" x14ac:dyDescent="0.25">
      <c r="A108" s="36"/>
      <c r="C108" s="36"/>
      <c r="D108" s="37"/>
      <c r="E108" s="36"/>
      <c r="F108" s="37"/>
      <c r="G108" s="36"/>
      <c r="H108" s="37"/>
      <c r="I108" s="36"/>
      <c r="J108" s="37"/>
      <c r="K108" s="36"/>
      <c r="L108" s="37"/>
      <c r="M108" s="36"/>
      <c r="N108" s="37"/>
      <c r="O108" s="36"/>
      <c r="P108" s="37"/>
      <c r="Q108" s="36"/>
      <c r="R108" s="36"/>
    </row>
    <row r="109" spans="1:18" x14ac:dyDescent="0.25">
      <c r="A109" s="36"/>
      <c r="C109" s="36"/>
      <c r="D109" s="37"/>
      <c r="E109" s="36"/>
      <c r="F109" s="37"/>
      <c r="G109" s="36"/>
      <c r="H109" s="37"/>
      <c r="I109" s="36"/>
      <c r="J109" s="37"/>
      <c r="K109" s="36"/>
      <c r="L109" s="37"/>
      <c r="M109" s="36"/>
      <c r="N109" s="37"/>
      <c r="O109" s="36"/>
      <c r="P109" s="37"/>
      <c r="Q109" s="36"/>
      <c r="R109" s="36"/>
    </row>
    <row r="110" spans="1:18" x14ac:dyDescent="0.25">
      <c r="A110" s="36"/>
      <c r="C110" s="36"/>
      <c r="D110" s="37"/>
      <c r="E110" s="36"/>
      <c r="F110" s="37"/>
      <c r="G110" s="36"/>
      <c r="H110" s="37"/>
      <c r="I110" s="36"/>
      <c r="J110" s="37"/>
      <c r="K110" s="36"/>
      <c r="L110" s="37"/>
      <c r="M110" s="36"/>
      <c r="N110" s="37"/>
      <c r="O110" s="36"/>
      <c r="P110" s="37"/>
      <c r="Q110" s="36"/>
      <c r="R110" s="36"/>
    </row>
    <row r="111" spans="1:18" x14ac:dyDescent="0.25">
      <c r="A111" s="36"/>
      <c r="C111" s="36"/>
      <c r="D111" s="37"/>
      <c r="E111" s="36"/>
      <c r="F111" s="37"/>
      <c r="G111" s="36"/>
      <c r="H111" s="37"/>
      <c r="I111" s="36"/>
      <c r="J111" s="37"/>
      <c r="K111" s="36"/>
      <c r="L111" s="37"/>
      <c r="M111" s="36"/>
      <c r="N111" s="37"/>
      <c r="O111" s="36"/>
      <c r="P111" s="37"/>
      <c r="Q111" s="36"/>
      <c r="R111" s="36"/>
    </row>
    <row r="112" spans="1:18" x14ac:dyDescent="0.25">
      <c r="A112" s="36"/>
      <c r="C112" s="36"/>
      <c r="D112" s="37"/>
      <c r="E112" s="36"/>
      <c r="F112" s="37"/>
      <c r="G112" s="36"/>
      <c r="H112" s="37"/>
      <c r="I112" s="36"/>
      <c r="J112" s="37"/>
      <c r="K112" s="36"/>
      <c r="L112" s="37"/>
      <c r="M112" s="36"/>
      <c r="N112" s="37"/>
      <c r="O112" s="36"/>
      <c r="P112" s="37"/>
      <c r="Q112" s="36"/>
      <c r="R112" s="36"/>
    </row>
    <row r="113" spans="1:18" x14ac:dyDescent="0.25">
      <c r="A113" s="36"/>
      <c r="C113" s="36"/>
      <c r="D113" s="37"/>
      <c r="E113" s="36"/>
      <c r="F113" s="37"/>
      <c r="G113" s="36"/>
      <c r="H113" s="37"/>
      <c r="I113" s="36"/>
      <c r="J113" s="37"/>
      <c r="K113" s="36"/>
      <c r="L113" s="37"/>
      <c r="M113" s="36"/>
      <c r="N113" s="37"/>
      <c r="O113" s="36"/>
      <c r="P113" s="37"/>
      <c r="Q113" s="36"/>
      <c r="R113" s="36"/>
    </row>
    <row r="114" spans="1:18" x14ac:dyDescent="0.25">
      <c r="A114" s="36"/>
      <c r="C114" s="36"/>
      <c r="D114" s="37"/>
      <c r="E114" s="36"/>
      <c r="F114" s="37"/>
      <c r="G114" s="36"/>
      <c r="H114" s="37"/>
      <c r="I114" s="36"/>
      <c r="J114" s="37"/>
      <c r="K114" s="36"/>
      <c r="L114" s="37"/>
      <c r="M114" s="36"/>
      <c r="N114" s="37"/>
      <c r="O114" s="36"/>
      <c r="P114" s="37"/>
      <c r="Q114" s="36"/>
      <c r="R114" s="36"/>
    </row>
    <row r="115" spans="1:18" x14ac:dyDescent="0.25">
      <c r="A115" s="36"/>
      <c r="C115" s="36"/>
      <c r="D115" s="37"/>
      <c r="E115" s="36"/>
      <c r="F115" s="37"/>
      <c r="G115" s="36"/>
      <c r="H115" s="37"/>
      <c r="I115" s="36"/>
      <c r="J115" s="37"/>
      <c r="K115" s="36"/>
      <c r="L115" s="37"/>
      <c r="M115" s="36"/>
      <c r="N115" s="37"/>
      <c r="O115" s="36"/>
      <c r="P115" s="37"/>
      <c r="Q115" s="36"/>
      <c r="R115" s="36"/>
    </row>
    <row r="116" spans="1:18" x14ac:dyDescent="0.25">
      <c r="A116" s="36"/>
      <c r="C116" s="36"/>
      <c r="D116" s="37"/>
      <c r="E116" s="36"/>
      <c r="F116" s="37"/>
      <c r="G116" s="36"/>
      <c r="H116" s="37"/>
      <c r="I116" s="36"/>
      <c r="J116" s="37"/>
      <c r="K116" s="36"/>
      <c r="L116" s="37"/>
      <c r="M116" s="36"/>
      <c r="N116" s="37"/>
      <c r="O116" s="36"/>
      <c r="P116" s="37"/>
      <c r="Q116" s="36"/>
      <c r="R116" s="36"/>
    </row>
    <row r="117" spans="1:18" x14ac:dyDescent="0.25">
      <c r="A117" s="36"/>
      <c r="C117" s="36"/>
      <c r="D117" s="37"/>
      <c r="E117" s="36"/>
      <c r="F117" s="37"/>
      <c r="G117" s="36"/>
      <c r="H117" s="37"/>
      <c r="I117" s="36"/>
      <c r="J117" s="37"/>
      <c r="K117" s="36"/>
      <c r="L117" s="37"/>
      <c r="M117" s="36"/>
      <c r="N117" s="37"/>
      <c r="O117" s="36"/>
      <c r="P117" s="37"/>
      <c r="Q117" s="36"/>
      <c r="R117" s="36"/>
    </row>
    <row r="118" spans="1:18" x14ac:dyDescent="0.25">
      <c r="A118" s="36"/>
      <c r="C118" s="36"/>
      <c r="D118" s="37"/>
      <c r="E118" s="36"/>
      <c r="F118" s="37"/>
      <c r="G118" s="36"/>
      <c r="H118" s="37"/>
      <c r="I118" s="36"/>
      <c r="J118" s="37"/>
      <c r="K118" s="36"/>
      <c r="L118" s="37"/>
      <c r="M118" s="36"/>
      <c r="N118" s="37"/>
      <c r="O118" s="36"/>
      <c r="P118" s="37"/>
      <c r="Q118" s="36"/>
      <c r="R118" s="36"/>
    </row>
    <row r="119" spans="1:18" x14ac:dyDescent="0.25">
      <c r="A119" s="36"/>
      <c r="C119" s="36"/>
      <c r="D119" s="37"/>
      <c r="E119" s="36"/>
      <c r="F119" s="37"/>
      <c r="G119" s="36"/>
      <c r="H119" s="37"/>
      <c r="I119" s="36"/>
      <c r="J119" s="37"/>
      <c r="K119" s="36"/>
      <c r="L119" s="37"/>
      <c r="M119" s="36"/>
      <c r="N119" s="37"/>
      <c r="O119" s="36"/>
      <c r="P119" s="37"/>
      <c r="Q119" s="36"/>
      <c r="R119" s="36"/>
    </row>
    <row r="120" spans="1:18" x14ac:dyDescent="0.25">
      <c r="A120" s="36"/>
      <c r="C120" s="36"/>
      <c r="D120" s="37"/>
      <c r="E120" s="36"/>
      <c r="F120" s="37"/>
      <c r="G120" s="36"/>
      <c r="H120" s="37"/>
      <c r="I120" s="36"/>
      <c r="J120" s="37"/>
      <c r="K120" s="36"/>
      <c r="L120" s="37"/>
      <c r="M120" s="36"/>
      <c r="N120" s="37"/>
      <c r="O120" s="36"/>
      <c r="P120" s="37"/>
      <c r="Q120" s="36"/>
      <c r="R120" s="36"/>
    </row>
    <row r="121" spans="1:18" x14ac:dyDescent="0.25">
      <c r="A121" s="36"/>
      <c r="C121" s="36"/>
      <c r="D121" s="37"/>
      <c r="E121" s="36"/>
      <c r="F121" s="37"/>
      <c r="G121" s="36"/>
      <c r="H121" s="37"/>
      <c r="I121" s="36"/>
      <c r="J121" s="37"/>
      <c r="K121" s="36"/>
      <c r="L121" s="37"/>
      <c r="M121" s="36"/>
      <c r="N121" s="37"/>
      <c r="O121" s="36"/>
      <c r="P121" s="37"/>
      <c r="Q121" s="36"/>
      <c r="R121" s="36"/>
    </row>
    <row r="122" spans="1:18" x14ac:dyDescent="0.25">
      <c r="A122" s="36"/>
      <c r="C122" s="36"/>
      <c r="D122" s="37"/>
      <c r="E122" s="36"/>
      <c r="F122" s="37"/>
      <c r="G122" s="36"/>
      <c r="H122" s="37"/>
      <c r="I122" s="36"/>
      <c r="J122" s="37"/>
      <c r="K122" s="36"/>
      <c r="L122" s="37"/>
      <c r="M122" s="36"/>
      <c r="N122" s="37"/>
      <c r="O122" s="36"/>
      <c r="P122" s="37"/>
      <c r="Q122" s="36"/>
      <c r="R122" s="36"/>
    </row>
    <row r="123" spans="1:18" x14ac:dyDescent="0.25">
      <c r="A123" s="36"/>
      <c r="C123" s="36"/>
      <c r="D123" s="37"/>
      <c r="E123" s="36"/>
      <c r="F123" s="37"/>
      <c r="G123" s="36"/>
      <c r="H123" s="37"/>
      <c r="I123" s="36"/>
      <c r="J123" s="37"/>
      <c r="K123" s="36"/>
      <c r="L123" s="37"/>
      <c r="M123" s="36"/>
      <c r="N123" s="37"/>
      <c r="O123" s="36"/>
      <c r="P123" s="37"/>
      <c r="Q123" s="36"/>
      <c r="R123" s="36"/>
    </row>
    <row r="124" spans="1:18" x14ac:dyDescent="0.25">
      <c r="A124" s="36"/>
      <c r="C124" s="36"/>
      <c r="D124" s="37"/>
      <c r="E124" s="36"/>
      <c r="F124" s="37"/>
      <c r="G124" s="36"/>
      <c r="H124" s="37"/>
      <c r="I124" s="36"/>
      <c r="J124" s="37"/>
      <c r="K124" s="36"/>
      <c r="L124" s="37"/>
      <c r="M124" s="36"/>
      <c r="N124" s="37"/>
      <c r="O124" s="36"/>
      <c r="P124" s="37"/>
      <c r="Q124" s="36"/>
      <c r="R124" s="36"/>
    </row>
    <row r="125" spans="1:18" x14ac:dyDescent="0.25">
      <c r="A125" s="36"/>
      <c r="C125" s="36"/>
      <c r="D125" s="37"/>
      <c r="E125" s="36"/>
      <c r="F125" s="37"/>
      <c r="G125" s="36"/>
      <c r="H125" s="37"/>
      <c r="I125" s="36"/>
      <c r="J125" s="37"/>
      <c r="K125" s="36"/>
      <c r="L125" s="37"/>
      <c r="M125" s="36"/>
      <c r="N125" s="37"/>
      <c r="O125" s="36"/>
      <c r="P125" s="37"/>
      <c r="Q125" s="36"/>
      <c r="R125" s="36"/>
    </row>
    <row r="126" spans="1:18" x14ac:dyDescent="0.25">
      <c r="A126" s="36"/>
      <c r="C126" s="36"/>
      <c r="D126" s="37"/>
      <c r="E126" s="36"/>
      <c r="F126" s="37"/>
      <c r="G126" s="36"/>
      <c r="H126" s="37"/>
      <c r="I126" s="36"/>
      <c r="J126" s="37"/>
      <c r="K126" s="36"/>
      <c r="L126" s="37"/>
      <c r="M126" s="36"/>
      <c r="N126" s="37"/>
      <c r="O126" s="36"/>
      <c r="P126" s="37"/>
      <c r="Q126" s="36"/>
      <c r="R126" s="36"/>
    </row>
    <row r="127" spans="1:18" x14ac:dyDescent="0.25">
      <c r="A127" s="36"/>
      <c r="C127" s="36"/>
      <c r="D127" s="37"/>
      <c r="E127" s="36"/>
      <c r="F127" s="37"/>
      <c r="G127" s="36"/>
      <c r="H127" s="37"/>
      <c r="I127" s="36"/>
      <c r="J127" s="37"/>
      <c r="K127" s="36"/>
      <c r="L127" s="37"/>
      <c r="M127" s="36"/>
      <c r="N127" s="37"/>
      <c r="O127" s="36"/>
      <c r="P127" s="37"/>
      <c r="Q127" s="36"/>
      <c r="R127" s="36"/>
    </row>
    <row r="128" spans="1:18" x14ac:dyDescent="0.25">
      <c r="A128" s="36"/>
      <c r="C128" s="36"/>
      <c r="D128" s="37"/>
      <c r="E128" s="36"/>
      <c r="F128" s="37"/>
      <c r="G128" s="36"/>
      <c r="H128" s="37"/>
      <c r="I128" s="36"/>
      <c r="J128" s="37"/>
      <c r="K128" s="36"/>
      <c r="L128" s="37"/>
      <c r="M128" s="36"/>
      <c r="N128" s="37"/>
      <c r="O128" s="36"/>
      <c r="P128" s="37"/>
      <c r="Q128" s="36"/>
      <c r="R128" s="36"/>
    </row>
    <row r="129" spans="1:18" x14ac:dyDescent="0.25">
      <c r="A129" s="36"/>
      <c r="C129" s="36"/>
      <c r="D129" s="37"/>
      <c r="E129" s="36"/>
      <c r="F129" s="37"/>
      <c r="G129" s="36"/>
      <c r="H129" s="37"/>
      <c r="I129" s="36"/>
      <c r="J129" s="37"/>
      <c r="K129" s="36"/>
      <c r="L129" s="37"/>
      <c r="M129" s="36"/>
      <c r="N129" s="37"/>
      <c r="O129" s="36"/>
      <c r="P129" s="37"/>
      <c r="Q129" s="36"/>
      <c r="R129" s="36"/>
    </row>
    <row r="130" spans="1:18" x14ac:dyDescent="0.25">
      <c r="A130" s="36"/>
      <c r="C130" s="36"/>
      <c r="D130" s="37"/>
      <c r="E130" s="36"/>
      <c r="F130" s="37"/>
      <c r="G130" s="36"/>
      <c r="H130" s="37"/>
      <c r="I130" s="36"/>
      <c r="J130" s="37"/>
      <c r="K130" s="36"/>
      <c r="L130" s="37"/>
      <c r="M130" s="36"/>
      <c r="N130" s="37"/>
      <c r="O130" s="36"/>
      <c r="P130" s="37"/>
      <c r="Q130" s="36"/>
      <c r="R130" s="36"/>
    </row>
    <row r="131" spans="1:18" x14ac:dyDescent="0.25">
      <c r="A131" s="36"/>
      <c r="C131" s="36"/>
      <c r="D131" s="37"/>
      <c r="E131" s="36"/>
      <c r="F131" s="37"/>
      <c r="G131" s="36"/>
      <c r="H131" s="37"/>
      <c r="I131" s="36"/>
      <c r="J131" s="37"/>
      <c r="K131" s="36"/>
      <c r="L131" s="37"/>
      <c r="M131" s="36"/>
      <c r="N131" s="37"/>
      <c r="O131" s="36"/>
      <c r="P131" s="37"/>
      <c r="Q131" s="36"/>
      <c r="R131" s="36"/>
    </row>
    <row r="132" spans="1:18" x14ac:dyDescent="0.25">
      <c r="A132" s="36"/>
      <c r="C132" s="36"/>
      <c r="D132" s="37"/>
      <c r="E132" s="36"/>
      <c r="F132" s="37"/>
      <c r="G132" s="36"/>
      <c r="H132" s="37"/>
      <c r="I132" s="36"/>
      <c r="J132" s="37"/>
      <c r="K132" s="36"/>
      <c r="L132" s="37"/>
      <c r="M132" s="36"/>
      <c r="N132" s="37"/>
      <c r="O132" s="36"/>
      <c r="P132" s="37"/>
      <c r="Q132" s="36"/>
      <c r="R132" s="36"/>
    </row>
    <row r="133" spans="1:18" x14ac:dyDescent="0.25">
      <c r="A133" s="36"/>
      <c r="C133" s="36"/>
      <c r="D133" s="37"/>
      <c r="E133" s="36"/>
      <c r="F133" s="37"/>
      <c r="G133" s="36"/>
      <c r="H133" s="37"/>
      <c r="I133" s="36"/>
      <c r="J133" s="37"/>
      <c r="K133" s="36"/>
      <c r="L133" s="37"/>
      <c r="M133" s="36"/>
      <c r="N133" s="37"/>
      <c r="O133" s="36"/>
      <c r="P133" s="37"/>
      <c r="Q133" s="36"/>
      <c r="R133" s="36"/>
    </row>
    <row r="134" spans="1:18" x14ac:dyDescent="0.25">
      <c r="A134" s="36"/>
      <c r="C134" s="36"/>
      <c r="D134" s="37"/>
      <c r="E134" s="36"/>
      <c r="F134" s="37"/>
      <c r="G134" s="36"/>
      <c r="H134" s="37"/>
      <c r="I134" s="36"/>
      <c r="J134" s="37"/>
      <c r="K134" s="36"/>
      <c r="L134" s="37"/>
      <c r="M134" s="36"/>
      <c r="N134" s="37"/>
      <c r="O134" s="36"/>
      <c r="P134" s="37"/>
      <c r="Q134" s="36"/>
      <c r="R134" s="36"/>
    </row>
    <row r="135" spans="1:18" x14ac:dyDescent="0.25">
      <c r="A135" s="36"/>
      <c r="C135" s="36"/>
      <c r="D135" s="37"/>
      <c r="E135" s="36"/>
      <c r="F135" s="37"/>
      <c r="G135" s="36"/>
      <c r="H135" s="37"/>
      <c r="I135" s="36"/>
      <c r="J135" s="37"/>
      <c r="K135" s="36"/>
      <c r="L135" s="37"/>
      <c r="M135" s="36"/>
      <c r="N135" s="37"/>
      <c r="O135" s="36"/>
      <c r="P135" s="37"/>
      <c r="Q135" s="36"/>
      <c r="R135" s="36"/>
    </row>
    <row r="136" spans="1:18" x14ac:dyDescent="0.25">
      <c r="A136" s="36"/>
      <c r="C136" s="36"/>
      <c r="D136" s="37"/>
      <c r="E136" s="36"/>
      <c r="F136" s="37"/>
      <c r="G136" s="36"/>
      <c r="H136" s="37"/>
      <c r="I136" s="36"/>
      <c r="J136" s="37"/>
      <c r="K136" s="36"/>
      <c r="L136" s="37"/>
      <c r="M136" s="36"/>
      <c r="N136" s="37"/>
      <c r="O136" s="36"/>
      <c r="P136" s="37"/>
      <c r="Q136" s="36"/>
      <c r="R136" s="36"/>
    </row>
    <row r="137" spans="1:18" x14ac:dyDescent="0.25">
      <c r="A137" s="36"/>
      <c r="C137" s="36"/>
      <c r="D137" s="37"/>
      <c r="E137" s="36"/>
      <c r="F137" s="37"/>
      <c r="G137" s="36"/>
      <c r="H137" s="37"/>
      <c r="I137" s="36"/>
      <c r="J137" s="37"/>
      <c r="K137" s="36"/>
      <c r="L137" s="37"/>
      <c r="M137" s="36"/>
      <c r="N137" s="37"/>
      <c r="O137" s="36"/>
      <c r="P137" s="37"/>
      <c r="Q137" s="36"/>
      <c r="R137" s="36"/>
    </row>
    <row r="138" spans="1:18" x14ac:dyDescent="0.25">
      <c r="A138" s="36"/>
      <c r="C138" s="36"/>
      <c r="D138" s="37"/>
      <c r="E138" s="36"/>
      <c r="F138" s="37"/>
      <c r="G138" s="36"/>
      <c r="H138" s="37"/>
      <c r="I138" s="36"/>
      <c r="J138" s="37"/>
      <c r="K138" s="36"/>
      <c r="L138" s="37"/>
      <c r="M138" s="36"/>
      <c r="N138" s="37"/>
      <c r="O138" s="36"/>
      <c r="P138" s="37"/>
      <c r="Q138" s="36"/>
      <c r="R138" s="36"/>
    </row>
    <row r="139" spans="1:18" x14ac:dyDescent="0.25">
      <c r="A139" s="36"/>
      <c r="C139" s="36"/>
      <c r="D139" s="37"/>
      <c r="E139" s="36"/>
      <c r="F139" s="37"/>
      <c r="G139" s="36"/>
      <c r="H139" s="37"/>
      <c r="I139" s="36"/>
      <c r="J139" s="37"/>
      <c r="K139" s="36"/>
      <c r="L139" s="37"/>
      <c r="M139" s="36"/>
      <c r="N139" s="37"/>
      <c r="O139" s="36"/>
      <c r="P139" s="37"/>
      <c r="Q139" s="36"/>
      <c r="R139" s="36"/>
    </row>
    <row r="140" spans="1:18" x14ac:dyDescent="0.25">
      <c r="A140" s="36"/>
      <c r="C140" s="36"/>
      <c r="D140" s="37"/>
      <c r="E140" s="36"/>
      <c r="F140" s="37"/>
      <c r="G140" s="36"/>
      <c r="H140" s="37"/>
      <c r="I140" s="36"/>
      <c r="J140" s="37"/>
      <c r="K140" s="36"/>
      <c r="L140" s="37"/>
      <c r="M140" s="36"/>
      <c r="N140" s="37"/>
      <c r="O140" s="36"/>
      <c r="P140" s="37"/>
      <c r="Q140" s="36"/>
      <c r="R140" s="36"/>
    </row>
    <row r="141" spans="1:18" x14ac:dyDescent="0.25">
      <c r="A141" s="36"/>
      <c r="C141" s="36"/>
      <c r="D141" s="37"/>
      <c r="E141" s="36"/>
      <c r="F141" s="37"/>
      <c r="G141" s="36"/>
      <c r="H141" s="37"/>
      <c r="I141" s="36"/>
      <c r="J141" s="37"/>
      <c r="K141" s="36"/>
      <c r="L141" s="37"/>
      <c r="M141" s="36"/>
      <c r="N141" s="37"/>
      <c r="O141" s="36"/>
      <c r="P141" s="37"/>
      <c r="Q141" s="36"/>
      <c r="R141" s="36"/>
    </row>
    <row r="142" spans="1:18" x14ac:dyDescent="0.25">
      <c r="A142" s="36"/>
      <c r="C142" s="36"/>
      <c r="D142" s="37"/>
      <c r="E142" s="36"/>
      <c r="F142" s="37"/>
      <c r="G142" s="36"/>
      <c r="H142" s="37"/>
      <c r="I142" s="36"/>
      <c r="J142" s="37"/>
      <c r="K142" s="36"/>
      <c r="L142" s="37"/>
      <c r="M142" s="36"/>
      <c r="N142" s="37"/>
      <c r="O142" s="36"/>
      <c r="P142" s="37"/>
      <c r="Q142" s="36"/>
      <c r="R142" s="36"/>
    </row>
    <row r="143" spans="1:18" x14ac:dyDescent="0.25">
      <c r="A143" s="36"/>
      <c r="C143" s="36"/>
      <c r="D143" s="37"/>
      <c r="E143" s="36"/>
      <c r="F143" s="37"/>
      <c r="G143" s="36"/>
      <c r="H143" s="37"/>
      <c r="I143" s="36"/>
      <c r="J143" s="37"/>
      <c r="K143" s="36"/>
      <c r="L143" s="37"/>
      <c r="M143" s="36"/>
      <c r="N143" s="37"/>
      <c r="O143" s="36"/>
      <c r="P143" s="37"/>
      <c r="Q143" s="36"/>
      <c r="R143" s="36"/>
    </row>
    <row r="144" spans="1:18" x14ac:dyDescent="0.25">
      <c r="A144" s="36"/>
      <c r="C144" s="36"/>
      <c r="D144" s="37"/>
      <c r="E144" s="36"/>
      <c r="F144" s="37"/>
      <c r="G144" s="36"/>
      <c r="H144" s="37"/>
      <c r="I144" s="36"/>
      <c r="J144" s="37"/>
      <c r="K144" s="36"/>
      <c r="L144" s="37"/>
      <c r="M144" s="36"/>
      <c r="N144" s="37"/>
      <c r="O144" s="36"/>
      <c r="P144" s="37"/>
      <c r="Q144" s="36"/>
      <c r="R144" s="36"/>
    </row>
    <row r="145" spans="1:18" x14ac:dyDescent="0.25">
      <c r="A145" s="36"/>
      <c r="C145" s="36"/>
      <c r="D145" s="37"/>
      <c r="E145" s="36"/>
      <c r="F145" s="37"/>
      <c r="G145" s="36"/>
      <c r="H145" s="37"/>
      <c r="I145" s="36"/>
      <c r="J145" s="37"/>
      <c r="K145" s="36"/>
      <c r="L145" s="37"/>
      <c r="M145" s="36"/>
      <c r="N145" s="37"/>
      <c r="O145" s="36"/>
      <c r="P145" s="37"/>
      <c r="Q145" s="36"/>
      <c r="R145" s="36"/>
    </row>
    <row r="146" spans="1:18" x14ac:dyDescent="0.25">
      <c r="A146" s="36"/>
      <c r="C146" s="36"/>
      <c r="D146" s="37"/>
      <c r="E146" s="36"/>
      <c r="F146" s="37"/>
      <c r="G146" s="36"/>
      <c r="H146" s="37"/>
      <c r="I146" s="36"/>
      <c r="J146" s="37"/>
      <c r="K146" s="36"/>
      <c r="L146" s="37"/>
      <c r="M146" s="36"/>
      <c r="N146" s="37"/>
      <c r="O146" s="36"/>
      <c r="P146" s="37"/>
      <c r="Q146" s="36"/>
      <c r="R146" s="36"/>
    </row>
    <row r="147" spans="1:18" x14ac:dyDescent="0.25">
      <c r="A147" s="36"/>
      <c r="C147" s="36"/>
      <c r="D147" s="37"/>
      <c r="E147" s="36"/>
      <c r="F147" s="37"/>
      <c r="G147" s="36"/>
      <c r="H147" s="37"/>
      <c r="I147" s="36"/>
      <c r="J147" s="37"/>
      <c r="K147" s="36"/>
      <c r="L147" s="37"/>
      <c r="M147" s="36"/>
      <c r="N147" s="37"/>
      <c r="O147" s="36"/>
      <c r="P147" s="37"/>
      <c r="Q147" s="36"/>
      <c r="R147" s="36"/>
    </row>
    <row r="148" spans="1:18" x14ac:dyDescent="0.25">
      <c r="A148" s="36"/>
      <c r="C148" s="36"/>
      <c r="D148" s="37"/>
      <c r="E148" s="36"/>
      <c r="F148" s="37"/>
      <c r="G148" s="36"/>
      <c r="H148" s="37"/>
      <c r="I148" s="36"/>
      <c r="J148" s="37"/>
      <c r="K148" s="36"/>
      <c r="L148" s="37"/>
      <c r="M148" s="36"/>
      <c r="N148" s="37"/>
      <c r="O148" s="36"/>
      <c r="P148" s="37"/>
      <c r="Q148" s="36"/>
      <c r="R148" s="36"/>
    </row>
    <row r="149" spans="1:18" x14ac:dyDescent="0.25">
      <c r="A149" s="36"/>
      <c r="C149" s="36"/>
      <c r="D149" s="37"/>
      <c r="E149" s="36"/>
      <c r="F149" s="37"/>
      <c r="G149" s="36"/>
      <c r="H149" s="37"/>
      <c r="I149" s="36"/>
      <c r="J149" s="37"/>
      <c r="K149" s="36"/>
      <c r="L149" s="37"/>
      <c r="M149" s="36"/>
      <c r="N149" s="37"/>
      <c r="O149" s="36"/>
      <c r="P149" s="37"/>
      <c r="Q149" s="36"/>
      <c r="R149" s="36"/>
    </row>
    <row r="150" spans="1:18" x14ac:dyDescent="0.25">
      <c r="A150" s="36"/>
      <c r="C150" s="36"/>
      <c r="D150" s="37"/>
      <c r="E150" s="36"/>
      <c r="F150" s="37"/>
      <c r="G150" s="36"/>
      <c r="H150" s="37"/>
      <c r="I150" s="36"/>
      <c r="J150" s="37"/>
      <c r="K150" s="36"/>
      <c r="L150" s="37"/>
      <c r="M150" s="36"/>
      <c r="N150" s="37"/>
      <c r="O150" s="36"/>
      <c r="P150" s="37"/>
      <c r="Q150" s="36"/>
      <c r="R150" s="36"/>
    </row>
    <row r="151" spans="1:18" x14ac:dyDescent="0.25">
      <c r="A151" s="36"/>
      <c r="C151" s="36"/>
      <c r="D151" s="37"/>
      <c r="E151" s="36"/>
      <c r="F151" s="37"/>
      <c r="G151" s="36"/>
      <c r="H151" s="37"/>
      <c r="I151" s="36"/>
      <c r="J151" s="37"/>
      <c r="K151" s="36"/>
      <c r="L151" s="37"/>
      <c r="M151" s="36"/>
      <c r="N151" s="37"/>
      <c r="O151" s="36"/>
      <c r="P151" s="37"/>
      <c r="Q151" s="36"/>
      <c r="R151" s="36"/>
    </row>
    <row r="152" spans="1:18" x14ac:dyDescent="0.25">
      <c r="A152" s="36"/>
      <c r="C152" s="36"/>
      <c r="D152" s="37"/>
      <c r="E152" s="36"/>
      <c r="F152" s="37"/>
      <c r="G152" s="36"/>
      <c r="H152" s="37"/>
      <c r="I152" s="36"/>
      <c r="J152" s="37"/>
      <c r="K152" s="36"/>
      <c r="L152" s="37"/>
      <c r="M152" s="36"/>
      <c r="N152" s="37"/>
      <c r="O152" s="36"/>
      <c r="P152" s="37"/>
      <c r="Q152" s="36"/>
      <c r="R152" s="36"/>
    </row>
    <row r="153" spans="1:18" x14ac:dyDescent="0.25">
      <c r="A153" s="36"/>
      <c r="C153" s="36"/>
      <c r="D153" s="37"/>
      <c r="E153" s="36"/>
      <c r="F153" s="37"/>
      <c r="G153" s="36"/>
      <c r="H153" s="37"/>
      <c r="I153" s="36"/>
      <c r="J153" s="37"/>
      <c r="K153" s="36"/>
      <c r="L153" s="37"/>
      <c r="M153" s="36"/>
      <c r="N153" s="37"/>
      <c r="O153" s="36"/>
      <c r="P153" s="37"/>
      <c r="Q153" s="36"/>
      <c r="R153" s="36"/>
    </row>
    <row r="154" spans="1:18" x14ac:dyDescent="0.25">
      <c r="A154" s="36"/>
      <c r="C154" s="36"/>
      <c r="D154" s="37"/>
      <c r="E154" s="36"/>
      <c r="F154" s="37"/>
      <c r="G154" s="36"/>
      <c r="H154" s="37"/>
      <c r="I154" s="36"/>
      <c r="J154" s="37"/>
      <c r="K154" s="36"/>
      <c r="L154" s="37"/>
      <c r="M154" s="36"/>
      <c r="N154" s="37"/>
      <c r="O154" s="36"/>
      <c r="P154" s="37"/>
      <c r="Q154" s="36"/>
      <c r="R154" s="36"/>
    </row>
    <row r="155" spans="1:18" x14ac:dyDescent="0.25">
      <c r="A155" s="36"/>
      <c r="C155" s="36"/>
      <c r="D155" s="37"/>
      <c r="E155" s="36"/>
      <c r="F155" s="37"/>
      <c r="G155" s="36"/>
      <c r="H155" s="37"/>
      <c r="I155" s="36"/>
      <c r="J155" s="37"/>
      <c r="K155" s="36"/>
      <c r="L155" s="37"/>
      <c r="M155" s="36"/>
      <c r="N155" s="37"/>
      <c r="O155" s="36"/>
      <c r="P155" s="37"/>
      <c r="Q155" s="36"/>
      <c r="R155" s="36"/>
    </row>
    <row r="156" spans="1:18" x14ac:dyDescent="0.25">
      <c r="A156" s="36"/>
      <c r="C156" s="36"/>
      <c r="D156" s="37"/>
      <c r="E156" s="36"/>
      <c r="F156" s="37"/>
      <c r="G156" s="36"/>
      <c r="H156" s="37"/>
      <c r="I156" s="36"/>
      <c r="J156" s="37"/>
      <c r="K156" s="36"/>
      <c r="L156" s="37"/>
      <c r="M156" s="36"/>
      <c r="N156" s="37"/>
      <c r="O156" s="36"/>
      <c r="P156" s="37"/>
      <c r="Q156" s="36"/>
      <c r="R156" s="36"/>
    </row>
    <row r="157" spans="1:18" x14ac:dyDescent="0.25">
      <c r="A157" s="36"/>
      <c r="C157" s="36"/>
      <c r="D157" s="37"/>
      <c r="E157" s="36"/>
      <c r="F157" s="37"/>
      <c r="G157" s="36"/>
      <c r="H157" s="37"/>
      <c r="I157" s="36"/>
      <c r="J157" s="37"/>
      <c r="K157" s="36"/>
      <c r="L157" s="37"/>
      <c r="M157" s="36"/>
      <c r="N157" s="37"/>
      <c r="O157" s="36"/>
      <c r="P157" s="37"/>
      <c r="Q157" s="36"/>
      <c r="R157" s="36"/>
    </row>
    <row r="158" spans="1:18" x14ac:dyDescent="0.25">
      <c r="A158" s="36"/>
      <c r="C158" s="36"/>
      <c r="D158" s="37"/>
      <c r="E158" s="36"/>
      <c r="F158" s="37"/>
      <c r="G158" s="36"/>
      <c r="H158" s="37"/>
      <c r="I158" s="36"/>
      <c r="J158" s="37"/>
      <c r="K158" s="36"/>
      <c r="L158" s="37"/>
      <c r="M158" s="36"/>
      <c r="N158" s="37"/>
      <c r="O158" s="36"/>
      <c r="P158" s="37"/>
      <c r="Q158" s="36"/>
      <c r="R158" s="36"/>
    </row>
    <row r="159" spans="1:18" x14ac:dyDescent="0.25">
      <c r="A159" s="36"/>
      <c r="C159" s="36"/>
      <c r="D159" s="37"/>
      <c r="E159" s="36"/>
      <c r="F159" s="37"/>
      <c r="G159" s="36"/>
      <c r="H159" s="37"/>
      <c r="I159" s="36"/>
      <c r="J159" s="37"/>
      <c r="K159" s="36"/>
      <c r="L159" s="37"/>
      <c r="M159" s="36"/>
      <c r="N159" s="37"/>
      <c r="O159" s="36"/>
      <c r="P159" s="37"/>
      <c r="Q159" s="36"/>
      <c r="R159" s="36"/>
    </row>
    <row r="160" spans="1:18" x14ac:dyDescent="0.25">
      <c r="A160" s="36"/>
      <c r="C160" s="36"/>
      <c r="D160" s="37"/>
      <c r="E160" s="36"/>
      <c r="F160" s="37"/>
      <c r="G160" s="36"/>
      <c r="H160" s="37"/>
      <c r="I160" s="36"/>
      <c r="J160" s="37"/>
      <c r="K160" s="36"/>
      <c r="L160" s="37"/>
      <c r="M160" s="36"/>
      <c r="N160" s="37"/>
      <c r="O160" s="36"/>
      <c r="P160" s="37"/>
      <c r="Q160" s="36"/>
      <c r="R160" s="36"/>
    </row>
    <row r="161" spans="1:18" x14ac:dyDescent="0.25">
      <c r="A161" s="36"/>
      <c r="C161" s="36"/>
      <c r="D161" s="37"/>
      <c r="E161" s="36"/>
      <c r="F161" s="37"/>
      <c r="G161" s="36"/>
      <c r="H161" s="37"/>
      <c r="I161" s="36"/>
      <c r="J161" s="37"/>
      <c r="K161" s="36"/>
      <c r="L161" s="37"/>
      <c r="M161" s="36"/>
      <c r="N161" s="37"/>
      <c r="O161" s="36"/>
      <c r="P161" s="37"/>
      <c r="Q161" s="36"/>
      <c r="R161" s="36"/>
    </row>
    <row r="162" spans="1:18" x14ac:dyDescent="0.25">
      <c r="A162" s="36"/>
      <c r="C162" s="36"/>
      <c r="D162" s="37"/>
      <c r="E162" s="36"/>
      <c r="F162" s="37"/>
      <c r="G162" s="36"/>
      <c r="H162" s="37"/>
      <c r="I162" s="36"/>
      <c r="J162" s="37"/>
      <c r="K162" s="36"/>
      <c r="L162" s="37"/>
      <c r="M162" s="36"/>
      <c r="N162" s="37"/>
      <c r="O162" s="36"/>
      <c r="P162" s="37"/>
      <c r="Q162" s="36"/>
      <c r="R162" s="36"/>
    </row>
    <row r="163" spans="1:18" x14ac:dyDescent="0.25">
      <c r="A163" s="36"/>
      <c r="C163" s="36"/>
      <c r="D163" s="37"/>
      <c r="E163" s="36"/>
      <c r="F163" s="37"/>
      <c r="G163" s="36"/>
      <c r="H163" s="37"/>
      <c r="I163" s="36"/>
      <c r="J163" s="37"/>
      <c r="K163" s="36"/>
      <c r="L163" s="37"/>
      <c r="M163" s="36"/>
      <c r="N163" s="37"/>
      <c r="O163" s="36"/>
      <c r="P163" s="37"/>
      <c r="Q163" s="36"/>
      <c r="R163" s="36"/>
    </row>
    <row r="164" spans="1:18" x14ac:dyDescent="0.25">
      <c r="A164" s="36"/>
      <c r="C164" s="36"/>
      <c r="D164" s="37"/>
      <c r="E164" s="36"/>
      <c r="F164" s="37"/>
      <c r="G164" s="36"/>
      <c r="H164" s="37"/>
      <c r="I164" s="36"/>
      <c r="J164" s="37"/>
      <c r="K164" s="36"/>
      <c r="L164" s="37"/>
      <c r="M164" s="36"/>
      <c r="N164" s="37"/>
      <c r="O164" s="36"/>
      <c r="P164" s="37"/>
      <c r="Q164" s="36"/>
      <c r="R164" s="36"/>
    </row>
    <row r="165" spans="1:18" x14ac:dyDescent="0.25">
      <c r="A165" s="36"/>
      <c r="C165" s="36"/>
      <c r="D165" s="37"/>
      <c r="E165" s="36"/>
      <c r="F165" s="37"/>
      <c r="G165" s="36"/>
      <c r="H165" s="37"/>
      <c r="I165" s="36"/>
      <c r="J165" s="37"/>
      <c r="K165" s="36"/>
      <c r="L165" s="37"/>
      <c r="M165" s="36"/>
      <c r="N165" s="37"/>
      <c r="O165" s="36"/>
      <c r="P165" s="37"/>
      <c r="Q165" s="36"/>
      <c r="R165" s="36"/>
    </row>
    <row r="166" spans="1:18" x14ac:dyDescent="0.25">
      <c r="A166" s="36"/>
      <c r="C166" s="36"/>
      <c r="D166" s="37"/>
      <c r="E166" s="36"/>
      <c r="F166" s="37"/>
      <c r="G166" s="36"/>
      <c r="H166" s="37"/>
      <c r="I166" s="36"/>
      <c r="J166" s="37"/>
      <c r="K166" s="36"/>
      <c r="L166" s="37"/>
      <c r="M166" s="36"/>
      <c r="N166" s="37"/>
      <c r="O166" s="36"/>
      <c r="P166" s="37"/>
      <c r="Q166" s="36"/>
      <c r="R166" s="36"/>
    </row>
    <row r="167" spans="1:18" x14ac:dyDescent="0.25">
      <c r="A167" s="36"/>
      <c r="C167" s="36"/>
      <c r="D167" s="37"/>
      <c r="E167" s="36"/>
      <c r="F167" s="37"/>
      <c r="G167" s="36"/>
      <c r="H167" s="37"/>
      <c r="I167" s="36"/>
      <c r="J167" s="37"/>
      <c r="K167" s="36"/>
      <c r="L167" s="37"/>
      <c r="M167" s="36"/>
      <c r="N167" s="37"/>
      <c r="O167" s="36"/>
      <c r="P167" s="37"/>
      <c r="Q167" s="36"/>
      <c r="R167" s="36"/>
    </row>
    <row r="168" spans="1:18" x14ac:dyDescent="0.25">
      <c r="A168" s="36"/>
      <c r="C168" s="36"/>
      <c r="D168" s="37"/>
      <c r="E168" s="36"/>
      <c r="F168" s="37"/>
      <c r="G168" s="36"/>
      <c r="H168" s="37"/>
      <c r="I168" s="36"/>
      <c r="J168" s="37"/>
      <c r="K168" s="36"/>
      <c r="L168" s="37"/>
      <c r="M168" s="36"/>
      <c r="N168" s="37"/>
      <c r="O168" s="36"/>
      <c r="P168" s="37"/>
      <c r="Q168" s="36"/>
      <c r="R168" s="36"/>
    </row>
    <row r="169" spans="1:18" x14ac:dyDescent="0.25">
      <c r="A169" s="36"/>
      <c r="C169" s="36"/>
      <c r="D169" s="37"/>
      <c r="E169" s="36"/>
      <c r="F169" s="37"/>
      <c r="G169" s="36"/>
      <c r="H169" s="37"/>
      <c r="I169" s="36"/>
      <c r="J169" s="37"/>
      <c r="K169" s="36"/>
      <c r="L169" s="37"/>
      <c r="M169" s="36"/>
      <c r="N169" s="37"/>
      <c r="O169" s="36"/>
      <c r="P169" s="37"/>
      <c r="Q169" s="36"/>
      <c r="R169" s="36"/>
    </row>
    <row r="170" spans="1:18" x14ac:dyDescent="0.25">
      <c r="A170" s="36"/>
      <c r="C170" s="36"/>
      <c r="D170" s="37"/>
      <c r="E170" s="36"/>
      <c r="F170" s="37"/>
      <c r="G170" s="36"/>
      <c r="H170" s="37"/>
      <c r="I170" s="36"/>
      <c r="J170" s="37"/>
      <c r="K170" s="36"/>
      <c r="L170" s="37"/>
      <c r="M170" s="36"/>
      <c r="N170" s="37"/>
      <c r="O170" s="36"/>
      <c r="P170" s="37"/>
      <c r="Q170" s="36"/>
      <c r="R170" s="36"/>
    </row>
    <row r="171" spans="1:18" x14ac:dyDescent="0.25">
      <c r="A171" s="36"/>
      <c r="C171" s="36"/>
      <c r="D171" s="37"/>
      <c r="E171" s="36"/>
      <c r="F171" s="37"/>
      <c r="G171" s="36"/>
      <c r="H171" s="37"/>
      <c r="I171" s="36"/>
      <c r="J171" s="37"/>
      <c r="K171" s="36"/>
      <c r="L171" s="37"/>
      <c r="M171" s="36"/>
      <c r="N171" s="37"/>
      <c r="O171" s="36"/>
      <c r="P171" s="37"/>
      <c r="Q171" s="36"/>
      <c r="R171" s="36"/>
    </row>
    <row r="172" spans="1:18" x14ac:dyDescent="0.25">
      <c r="A172" s="36"/>
      <c r="C172" s="36"/>
      <c r="D172" s="37"/>
      <c r="E172" s="36"/>
      <c r="F172" s="37"/>
      <c r="G172" s="36"/>
      <c r="H172" s="37"/>
      <c r="I172" s="36"/>
      <c r="J172" s="37"/>
      <c r="K172" s="36"/>
      <c r="L172" s="37"/>
      <c r="M172" s="36"/>
      <c r="N172" s="37"/>
      <c r="O172" s="36"/>
      <c r="P172" s="37"/>
      <c r="Q172" s="36"/>
      <c r="R172" s="36"/>
    </row>
    <row r="173" spans="1:18" x14ac:dyDescent="0.25">
      <c r="A173" s="36"/>
      <c r="C173" s="36"/>
      <c r="D173" s="37"/>
      <c r="E173" s="36"/>
      <c r="F173" s="37"/>
      <c r="G173" s="36"/>
      <c r="H173" s="37"/>
      <c r="I173" s="36"/>
      <c r="J173" s="37"/>
      <c r="K173" s="36"/>
      <c r="L173" s="37"/>
      <c r="M173" s="36"/>
      <c r="N173" s="37"/>
      <c r="O173" s="36"/>
      <c r="P173" s="37"/>
      <c r="Q173" s="36"/>
      <c r="R173" s="36"/>
    </row>
    <row r="174" spans="1:18" x14ac:dyDescent="0.25">
      <c r="A174" s="36"/>
      <c r="C174" s="36"/>
      <c r="D174" s="37"/>
      <c r="E174" s="36"/>
      <c r="F174" s="37"/>
      <c r="G174" s="36"/>
      <c r="H174" s="37"/>
      <c r="I174" s="36"/>
      <c r="J174" s="37"/>
      <c r="K174" s="36"/>
      <c r="L174" s="37"/>
      <c r="M174" s="36"/>
      <c r="N174" s="37"/>
      <c r="O174" s="36"/>
      <c r="P174" s="37"/>
      <c r="Q174" s="36"/>
      <c r="R174" s="36"/>
    </row>
    <row r="175" spans="1:18" x14ac:dyDescent="0.25">
      <c r="A175" s="36"/>
      <c r="C175" s="36"/>
      <c r="D175" s="37"/>
      <c r="E175" s="36"/>
      <c r="F175" s="37"/>
      <c r="G175" s="36"/>
      <c r="H175" s="37"/>
      <c r="I175" s="36"/>
      <c r="J175" s="37"/>
      <c r="K175" s="36"/>
      <c r="L175" s="37"/>
      <c r="M175" s="36"/>
      <c r="N175" s="37"/>
      <c r="O175" s="36"/>
      <c r="P175" s="37"/>
      <c r="Q175" s="36"/>
      <c r="R175" s="36"/>
    </row>
    <row r="176" spans="1:18" x14ac:dyDescent="0.25">
      <c r="A176" s="36"/>
      <c r="C176" s="36"/>
      <c r="D176" s="37"/>
      <c r="E176" s="36"/>
      <c r="F176" s="37"/>
      <c r="G176" s="36"/>
      <c r="H176" s="37"/>
      <c r="I176" s="36"/>
      <c r="J176" s="37"/>
      <c r="K176" s="36"/>
      <c r="L176" s="37"/>
      <c r="M176" s="36"/>
      <c r="N176" s="37"/>
      <c r="O176" s="36"/>
      <c r="P176" s="37"/>
      <c r="Q176" s="36"/>
      <c r="R176" s="36"/>
    </row>
    <row r="177" spans="1:18" x14ac:dyDescent="0.25">
      <c r="A177" s="36"/>
      <c r="C177" s="36"/>
      <c r="D177" s="37"/>
      <c r="E177" s="36"/>
      <c r="F177" s="37"/>
      <c r="G177" s="36"/>
      <c r="H177" s="37"/>
      <c r="I177" s="36"/>
      <c r="J177" s="37"/>
      <c r="K177" s="36"/>
      <c r="L177" s="37"/>
      <c r="M177" s="36"/>
      <c r="N177" s="37"/>
      <c r="O177" s="36"/>
      <c r="P177" s="37"/>
      <c r="Q177" s="36"/>
      <c r="R177" s="36"/>
    </row>
    <row r="178" spans="1:18" x14ac:dyDescent="0.25">
      <c r="A178" s="36"/>
      <c r="C178" s="36"/>
      <c r="D178" s="37"/>
      <c r="E178" s="36"/>
      <c r="F178" s="37"/>
      <c r="G178" s="36"/>
      <c r="H178" s="37"/>
      <c r="I178" s="36"/>
      <c r="J178" s="37"/>
      <c r="K178" s="36"/>
      <c r="L178" s="37"/>
      <c r="M178" s="36"/>
      <c r="N178" s="37"/>
      <c r="O178" s="36"/>
      <c r="P178" s="37"/>
      <c r="Q178" s="36"/>
      <c r="R178" s="36"/>
    </row>
    <row r="179" spans="1:18" x14ac:dyDescent="0.25">
      <c r="A179" s="36"/>
      <c r="C179" s="36"/>
      <c r="D179" s="37"/>
      <c r="E179" s="36"/>
      <c r="F179" s="37"/>
      <c r="G179" s="36"/>
      <c r="H179" s="37"/>
      <c r="I179" s="36"/>
      <c r="J179" s="37"/>
      <c r="K179" s="36"/>
      <c r="L179" s="37"/>
      <c r="M179" s="36"/>
      <c r="N179" s="37"/>
      <c r="O179" s="36"/>
      <c r="P179" s="37"/>
      <c r="Q179" s="36"/>
      <c r="R179" s="36"/>
    </row>
    <row r="180" spans="1:18" x14ac:dyDescent="0.25">
      <c r="A180" s="36"/>
      <c r="C180" s="36"/>
      <c r="D180" s="37"/>
      <c r="E180" s="36"/>
      <c r="F180" s="37"/>
      <c r="G180" s="36"/>
      <c r="H180" s="37"/>
      <c r="I180" s="36"/>
      <c r="J180" s="37"/>
      <c r="K180" s="36"/>
      <c r="L180" s="37"/>
      <c r="M180" s="36"/>
      <c r="N180" s="37"/>
      <c r="O180" s="36"/>
      <c r="P180" s="37"/>
      <c r="Q180" s="36"/>
      <c r="R180" s="36"/>
    </row>
    <row r="181" spans="1:18" x14ac:dyDescent="0.25">
      <c r="A181" s="36"/>
      <c r="C181" s="36"/>
      <c r="D181" s="37"/>
      <c r="E181" s="36"/>
      <c r="F181" s="37"/>
      <c r="G181" s="36"/>
      <c r="H181" s="37"/>
      <c r="I181" s="36"/>
      <c r="J181" s="37"/>
      <c r="K181" s="36"/>
      <c r="L181" s="37"/>
      <c r="M181" s="36"/>
      <c r="N181" s="37"/>
      <c r="O181" s="36"/>
      <c r="P181" s="37"/>
      <c r="Q181" s="36"/>
      <c r="R181" s="36"/>
    </row>
    <row r="182" spans="1:18" x14ac:dyDescent="0.25">
      <c r="A182" s="36"/>
      <c r="C182" s="36"/>
      <c r="D182" s="37"/>
      <c r="E182" s="36"/>
      <c r="F182" s="37"/>
      <c r="G182" s="36"/>
      <c r="H182" s="37"/>
      <c r="I182" s="36"/>
      <c r="J182" s="37"/>
      <c r="K182" s="36"/>
      <c r="L182" s="37"/>
      <c r="M182" s="36"/>
      <c r="N182" s="37"/>
      <c r="O182" s="36"/>
      <c r="P182" s="37"/>
      <c r="Q182" s="36"/>
      <c r="R182" s="36"/>
    </row>
    <row r="183" spans="1:18" x14ac:dyDescent="0.25">
      <c r="A183" s="36"/>
      <c r="C183" s="36"/>
      <c r="D183" s="37"/>
      <c r="E183" s="36"/>
      <c r="F183" s="37"/>
      <c r="G183" s="36"/>
      <c r="H183" s="37"/>
      <c r="I183" s="36"/>
      <c r="J183" s="37"/>
      <c r="K183" s="36"/>
      <c r="L183" s="37"/>
      <c r="M183" s="36"/>
      <c r="N183" s="37"/>
      <c r="O183" s="36"/>
      <c r="P183" s="37"/>
      <c r="Q183" s="36"/>
      <c r="R183" s="36"/>
    </row>
    <row r="184" spans="1:18" x14ac:dyDescent="0.25">
      <c r="A184" s="36"/>
      <c r="C184" s="36"/>
      <c r="D184" s="37"/>
      <c r="E184" s="36"/>
      <c r="F184" s="37"/>
      <c r="G184" s="36"/>
      <c r="H184" s="37"/>
      <c r="I184" s="36"/>
      <c r="J184" s="37"/>
      <c r="K184" s="36"/>
      <c r="L184" s="37"/>
      <c r="M184" s="36"/>
      <c r="N184" s="37"/>
      <c r="O184" s="36"/>
      <c r="P184" s="37"/>
      <c r="Q184" s="36"/>
      <c r="R184" s="36"/>
    </row>
    <row r="185" spans="1:18" x14ac:dyDescent="0.25">
      <c r="A185" s="36"/>
      <c r="C185" s="36"/>
      <c r="D185" s="37"/>
      <c r="E185" s="36"/>
      <c r="F185" s="37"/>
      <c r="G185" s="36"/>
      <c r="H185" s="37"/>
      <c r="I185" s="36"/>
      <c r="J185" s="37"/>
      <c r="K185" s="36"/>
      <c r="L185" s="37"/>
      <c r="M185" s="36"/>
      <c r="N185" s="37"/>
      <c r="O185" s="36"/>
      <c r="P185" s="37"/>
      <c r="Q185" s="36"/>
      <c r="R185" s="36"/>
    </row>
    <row r="186" spans="1:18" x14ac:dyDescent="0.25">
      <c r="A186" s="36"/>
      <c r="C186" s="36"/>
      <c r="D186" s="37"/>
      <c r="E186" s="36"/>
      <c r="F186" s="37"/>
      <c r="G186" s="36"/>
      <c r="H186" s="37"/>
      <c r="I186" s="36"/>
      <c r="J186" s="37"/>
      <c r="K186" s="36"/>
      <c r="L186" s="37"/>
      <c r="M186" s="36"/>
      <c r="N186" s="37"/>
      <c r="O186" s="36"/>
      <c r="P186" s="37"/>
      <c r="Q186" s="36"/>
      <c r="R186" s="36"/>
    </row>
    <row r="187" spans="1:18" x14ac:dyDescent="0.25">
      <c r="A187" s="36"/>
      <c r="C187" s="36"/>
      <c r="D187" s="37"/>
      <c r="E187" s="36"/>
      <c r="F187" s="37"/>
      <c r="G187" s="36"/>
      <c r="H187" s="37"/>
      <c r="I187" s="36"/>
      <c r="J187" s="37"/>
      <c r="K187" s="36"/>
      <c r="L187" s="37"/>
      <c r="M187" s="36"/>
      <c r="N187" s="37"/>
      <c r="O187" s="36"/>
      <c r="P187" s="37"/>
      <c r="Q187" s="36"/>
      <c r="R187" s="36"/>
    </row>
    <row r="188" spans="1:18" x14ac:dyDescent="0.25">
      <c r="A188" s="36"/>
      <c r="C188" s="36"/>
      <c r="D188" s="37"/>
      <c r="E188" s="36"/>
      <c r="F188" s="37"/>
      <c r="G188" s="36"/>
      <c r="H188" s="37"/>
      <c r="I188" s="36"/>
      <c r="J188" s="37"/>
      <c r="K188" s="36"/>
      <c r="L188" s="37"/>
      <c r="M188" s="36"/>
      <c r="N188" s="37"/>
      <c r="O188" s="36"/>
      <c r="P188" s="37"/>
      <c r="Q188" s="36"/>
      <c r="R188" s="36"/>
    </row>
    <row r="189" spans="1:18" x14ac:dyDescent="0.25">
      <c r="A189" s="36"/>
      <c r="C189" s="36"/>
      <c r="D189" s="37"/>
      <c r="E189" s="36"/>
      <c r="F189" s="37"/>
      <c r="G189" s="36"/>
      <c r="H189" s="37"/>
      <c r="I189" s="36"/>
      <c r="J189" s="37"/>
      <c r="K189" s="36"/>
      <c r="L189" s="37"/>
      <c r="M189" s="36"/>
      <c r="N189" s="37"/>
      <c r="O189" s="36"/>
      <c r="P189" s="37"/>
      <c r="Q189" s="36"/>
      <c r="R189" s="36"/>
    </row>
    <row r="190" spans="1:18" x14ac:dyDescent="0.25">
      <c r="A190" s="36"/>
      <c r="C190" s="36"/>
      <c r="D190" s="37"/>
      <c r="E190" s="36"/>
      <c r="F190" s="37"/>
      <c r="G190" s="36"/>
      <c r="H190" s="37"/>
      <c r="I190" s="36"/>
      <c r="J190" s="37"/>
      <c r="K190" s="36"/>
      <c r="L190" s="37"/>
      <c r="M190" s="36"/>
      <c r="N190" s="37"/>
      <c r="O190" s="36"/>
      <c r="P190" s="37"/>
      <c r="Q190" s="36"/>
      <c r="R190" s="36"/>
    </row>
    <row r="191" spans="1:18" x14ac:dyDescent="0.25">
      <c r="A191" s="36"/>
      <c r="C191" s="36"/>
      <c r="D191" s="37"/>
      <c r="E191" s="36"/>
      <c r="F191" s="37"/>
      <c r="G191" s="36"/>
      <c r="H191" s="37"/>
      <c r="I191" s="36"/>
      <c r="J191" s="37"/>
      <c r="K191" s="36"/>
      <c r="L191" s="37"/>
      <c r="M191" s="36"/>
      <c r="N191" s="37"/>
      <c r="O191" s="36"/>
      <c r="P191" s="37"/>
      <c r="Q191" s="36"/>
      <c r="R191" s="36"/>
    </row>
    <row r="192" spans="1:18" x14ac:dyDescent="0.25">
      <c r="A192" s="36"/>
      <c r="C192" s="36"/>
      <c r="D192" s="37"/>
      <c r="E192" s="36"/>
      <c r="F192" s="37"/>
      <c r="G192" s="36"/>
      <c r="H192" s="37"/>
      <c r="I192" s="36"/>
      <c r="J192" s="37"/>
      <c r="K192" s="36"/>
      <c r="L192" s="37"/>
      <c r="M192" s="36"/>
      <c r="N192" s="37"/>
      <c r="O192" s="36"/>
      <c r="P192" s="37"/>
      <c r="Q192" s="36"/>
      <c r="R192" s="36"/>
    </row>
    <row r="193" spans="1:18" x14ac:dyDescent="0.25">
      <c r="A193" s="36"/>
      <c r="C193" s="36"/>
      <c r="D193" s="37"/>
      <c r="E193" s="36"/>
      <c r="F193" s="37"/>
      <c r="G193" s="36"/>
      <c r="H193" s="37"/>
      <c r="I193" s="36"/>
      <c r="J193" s="37"/>
      <c r="K193" s="36"/>
      <c r="L193" s="37"/>
      <c r="M193" s="36"/>
      <c r="N193" s="37"/>
      <c r="O193" s="36"/>
      <c r="P193" s="37"/>
      <c r="Q193" s="36"/>
      <c r="R193" s="36"/>
    </row>
    <row r="194" spans="1:18" x14ac:dyDescent="0.25">
      <c r="A194" s="36"/>
      <c r="C194" s="36"/>
      <c r="D194" s="37"/>
      <c r="E194" s="36"/>
      <c r="F194" s="37"/>
      <c r="G194" s="36"/>
      <c r="H194" s="37"/>
      <c r="I194" s="36"/>
      <c r="J194" s="37"/>
      <c r="K194" s="36"/>
      <c r="L194" s="37"/>
      <c r="M194" s="36"/>
      <c r="N194" s="37"/>
      <c r="O194" s="36"/>
      <c r="P194" s="37"/>
      <c r="Q194" s="36"/>
      <c r="R194" s="36"/>
    </row>
    <row r="195" spans="1:18" x14ac:dyDescent="0.25">
      <c r="A195" s="36"/>
      <c r="C195" s="36"/>
      <c r="D195" s="37"/>
      <c r="E195" s="36"/>
      <c r="F195" s="37"/>
      <c r="G195" s="36"/>
      <c r="H195" s="37"/>
      <c r="I195" s="36"/>
      <c r="J195" s="37"/>
      <c r="K195" s="36"/>
      <c r="L195" s="37"/>
      <c r="M195" s="36"/>
      <c r="N195" s="37"/>
      <c r="O195" s="36"/>
      <c r="P195" s="37"/>
      <c r="Q195" s="36"/>
      <c r="R195" s="36"/>
    </row>
    <row r="196" spans="1:18" x14ac:dyDescent="0.25">
      <c r="A196" s="36"/>
      <c r="C196" s="36"/>
      <c r="D196" s="37"/>
      <c r="E196" s="36"/>
      <c r="F196" s="37"/>
      <c r="G196" s="36"/>
      <c r="H196" s="37"/>
      <c r="I196" s="36"/>
      <c r="J196" s="37"/>
      <c r="K196" s="36"/>
      <c r="L196" s="37"/>
      <c r="M196" s="36"/>
      <c r="N196" s="37"/>
      <c r="O196" s="36"/>
      <c r="P196" s="37"/>
      <c r="Q196" s="36"/>
      <c r="R196" s="36"/>
    </row>
    <row r="197" spans="1:18" x14ac:dyDescent="0.25">
      <c r="A197" s="36"/>
      <c r="C197" s="36"/>
      <c r="D197" s="37"/>
      <c r="E197" s="36"/>
      <c r="F197" s="37"/>
      <c r="G197" s="36"/>
      <c r="H197" s="37"/>
      <c r="I197" s="36"/>
      <c r="J197" s="37"/>
      <c r="K197" s="36"/>
      <c r="L197" s="37"/>
      <c r="M197" s="36"/>
      <c r="N197" s="37"/>
      <c r="O197" s="36"/>
      <c r="P197" s="37"/>
      <c r="Q197" s="36"/>
      <c r="R197" s="36"/>
    </row>
    <row r="198" spans="1:18" x14ac:dyDescent="0.25">
      <c r="A198" s="36"/>
      <c r="C198" s="36"/>
      <c r="D198" s="37"/>
      <c r="E198" s="36"/>
      <c r="F198" s="37"/>
      <c r="G198" s="36"/>
      <c r="H198" s="37"/>
      <c r="I198" s="36"/>
      <c r="J198" s="37"/>
      <c r="K198" s="36"/>
      <c r="L198" s="37"/>
      <c r="M198" s="36"/>
      <c r="N198" s="37"/>
      <c r="O198" s="36"/>
      <c r="P198" s="37"/>
      <c r="Q198" s="36"/>
      <c r="R198" s="36"/>
    </row>
    <row r="199" spans="1:18" x14ac:dyDescent="0.25">
      <c r="A199" s="36"/>
      <c r="C199" s="36"/>
      <c r="D199" s="37"/>
      <c r="E199" s="36"/>
      <c r="F199" s="37"/>
      <c r="G199" s="36"/>
      <c r="H199" s="37"/>
      <c r="I199" s="36"/>
      <c r="J199" s="37"/>
      <c r="K199" s="36"/>
      <c r="L199" s="37"/>
      <c r="M199" s="36"/>
      <c r="N199" s="37"/>
      <c r="O199" s="36"/>
      <c r="P199" s="37"/>
      <c r="Q199" s="36"/>
      <c r="R199" s="36"/>
    </row>
    <row r="200" spans="1:18" x14ac:dyDescent="0.25">
      <c r="A200" s="36"/>
      <c r="C200" s="36"/>
      <c r="D200" s="37"/>
      <c r="E200" s="36"/>
      <c r="F200" s="37"/>
      <c r="G200" s="36"/>
      <c r="H200" s="37"/>
      <c r="I200" s="36"/>
      <c r="J200" s="37"/>
      <c r="K200" s="36"/>
      <c r="L200" s="37"/>
      <c r="M200" s="36"/>
      <c r="N200" s="37"/>
      <c r="O200" s="36"/>
      <c r="P200" s="37"/>
      <c r="Q200" s="36"/>
      <c r="R200" s="36"/>
    </row>
    <row r="201" spans="1:18" x14ac:dyDescent="0.25">
      <c r="A201" s="36"/>
      <c r="C201" s="36"/>
      <c r="D201" s="37"/>
      <c r="E201" s="36"/>
      <c r="F201" s="37"/>
      <c r="G201" s="36"/>
      <c r="H201" s="37"/>
      <c r="I201" s="36"/>
      <c r="J201" s="37"/>
      <c r="K201" s="36"/>
      <c r="L201" s="37"/>
      <c r="M201" s="36"/>
      <c r="N201" s="37"/>
      <c r="O201" s="36"/>
      <c r="P201" s="37"/>
      <c r="Q201" s="36"/>
      <c r="R201" s="36"/>
    </row>
    <row r="202" spans="1:18" x14ac:dyDescent="0.25">
      <c r="A202" s="36"/>
      <c r="C202" s="36"/>
      <c r="D202" s="37"/>
      <c r="E202" s="36"/>
      <c r="F202" s="37"/>
      <c r="G202" s="36"/>
      <c r="H202" s="37"/>
      <c r="I202" s="36"/>
      <c r="J202" s="37"/>
      <c r="K202" s="36"/>
      <c r="L202" s="37"/>
      <c r="M202" s="36"/>
      <c r="N202" s="37"/>
      <c r="O202" s="36"/>
      <c r="P202" s="37"/>
      <c r="Q202" s="36"/>
      <c r="R202" s="36"/>
    </row>
    <row r="203" spans="1:18" x14ac:dyDescent="0.25">
      <c r="A203" s="36"/>
      <c r="C203" s="36"/>
      <c r="D203" s="37"/>
      <c r="E203" s="36"/>
      <c r="F203" s="37"/>
      <c r="G203" s="36"/>
      <c r="H203" s="37"/>
      <c r="I203" s="36"/>
      <c r="J203" s="37"/>
      <c r="K203" s="36"/>
      <c r="L203" s="37"/>
      <c r="M203" s="36"/>
      <c r="N203" s="37"/>
      <c r="O203" s="36"/>
      <c r="P203" s="37"/>
      <c r="Q203" s="36"/>
      <c r="R203" s="36"/>
    </row>
    <row r="204" spans="1:18" x14ac:dyDescent="0.25">
      <c r="A204" s="36"/>
      <c r="C204" s="36"/>
      <c r="D204" s="37"/>
      <c r="E204" s="36"/>
      <c r="F204" s="37"/>
      <c r="G204" s="36"/>
      <c r="H204" s="37"/>
      <c r="I204" s="36"/>
      <c r="J204" s="37"/>
      <c r="K204" s="36"/>
      <c r="L204" s="37"/>
      <c r="M204" s="36"/>
      <c r="N204" s="37"/>
      <c r="O204" s="36"/>
      <c r="P204" s="37"/>
      <c r="Q204" s="36"/>
      <c r="R204" s="36"/>
    </row>
    <row r="205" spans="1:18" x14ac:dyDescent="0.25">
      <c r="A205" s="36"/>
      <c r="C205" s="36"/>
      <c r="D205" s="37"/>
      <c r="E205" s="36"/>
      <c r="F205" s="37"/>
      <c r="G205" s="36"/>
      <c r="H205" s="37"/>
      <c r="I205" s="36"/>
      <c r="J205" s="37"/>
      <c r="K205" s="36"/>
      <c r="L205" s="37"/>
      <c r="M205" s="36"/>
      <c r="N205" s="37"/>
      <c r="O205" s="36"/>
      <c r="P205" s="37"/>
      <c r="Q205" s="36"/>
      <c r="R205" s="36"/>
    </row>
    <row r="206" spans="1:18" x14ac:dyDescent="0.25">
      <c r="A206" s="36"/>
      <c r="C206" s="36"/>
      <c r="D206" s="37"/>
      <c r="E206" s="36"/>
      <c r="F206" s="37"/>
      <c r="G206" s="36"/>
      <c r="H206" s="37"/>
      <c r="I206" s="36"/>
      <c r="J206" s="37"/>
      <c r="K206" s="36"/>
      <c r="L206" s="37"/>
      <c r="M206" s="36"/>
      <c r="N206" s="37"/>
      <c r="O206" s="36"/>
      <c r="P206" s="37"/>
      <c r="Q206" s="36"/>
      <c r="R206" s="36"/>
    </row>
    <row r="207" spans="1:18" x14ac:dyDescent="0.25">
      <c r="A207" s="36"/>
      <c r="C207" s="36"/>
      <c r="D207" s="37"/>
      <c r="E207" s="36"/>
      <c r="F207" s="37"/>
      <c r="G207" s="36"/>
      <c r="H207" s="37"/>
      <c r="I207" s="36"/>
      <c r="J207" s="37"/>
      <c r="K207" s="36"/>
      <c r="L207" s="37"/>
      <c r="M207" s="36"/>
      <c r="N207" s="37"/>
      <c r="O207" s="36"/>
      <c r="P207" s="37"/>
      <c r="Q207" s="36"/>
      <c r="R207" s="36"/>
    </row>
    <row r="208" spans="1:18" x14ac:dyDescent="0.25">
      <c r="A208" s="36"/>
      <c r="C208" s="36"/>
      <c r="D208" s="37"/>
      <c r="E208" s="36"/>
      <c r="F208" s="37"/>
      <c r="G208" s="36"/>
      <c r="H208" s="37"/>
      <c r="I208" s="36"/>
      <c r="J208" s="37"/>
      <c r="K208" s="36"/>
      <c r="L208" s="37"/>
      <c r="M208" s="36"/>
      <c r="N208" s="37"/>
      <c r="O208" s="36"/>
      <c r="P208" s="37"/>
      <c r="Q208" s="36"/>
      <c r="R208" s="36"/>
    </row>
    <row r="209" spans="1:18" x14ac:dyDescent="0.25">
      <c r="A209" s="36"/>
      <c r="C209" s="36"/>
      <c r="D209" s="37"/>
      <c r="E209" s="36"/>
      <c r="F209" s="37"/>
      <c r="G209" s="36"/>
      <c r="H209" s="37"/>
      <c r="I209" s="36"/>
      <c r="J209" s="37"/>
      <c r="K209" s="36"/>
      <c r="L209" s="37"/>
      <c r="M209" s="36"/>
      <c r="N209" s="37"/>
      <c r="O209" s="36"/>
      <c r="P209" s="37"/>
      <c r="Q209" s="36"/>
      <c r="R209" s="36"/>
    </row>
    <row r="210" spans="1:18" x14ac:dyDescent="0.25">
      <c r="A210" s="36"/>
      <c r="C210" s="36"/>
      <c r="D210" s="37"/>
      <c r="E210" s="36"/>
      <c r="F210" s="37"/>
      <c r="G210" s="36"/>
      <c r="H210" s="37"/>
      <c r="I210" s="36"/>
      <c r="J210" s="37"/>
      <c r="K210" s="36"/>
      <c r="L210" s="37"/>
      <c r="M210" s="36"/>
      <c r="N210" s="37"/>
      <c r="O210" s="36"/>
      <c r="P210" s="37"/>
      <c r="Q210" s="36"/>
      <c r="R210" s="36"/>
    </row>
    <row r="211" spans="1:18" x14ac:dyDescent="0.25">
      <c r="A211" s="36"/>
      <c r="C211" s="36"/>
      <c r="D211" s="37"/>
      <c r="E211" s="36"/>
      <c r="F211" s="37"/>
      <c r="G211" s="36"/>
      <c r="H211" s="37"/>
      <c r="I211" s="36"/>
      <c r="J211" s="37"/>
      <c r="K211" s="36"/>
      <c r="L211" s="37"/>
      <c r="M211" s="36"/>
      <c r="N211" s="37"/>
      <c r="O211" s="36"/>
      <c r="P211" s="37"/>
      <c r="Q211" s="36"/>
      <c r="R211" s="36"/>
    </row>
    <row r="212" spans="1:18" x14ac:dyDescent="0.25">
      <c r="A212" s="36"/>
      <c r="C212" s="36"/>
      <c r="D212" s="37"/>
      <c r="E212" s="36"/>
      <c r="F212" s="37"/>
      <c r="G212" s="36"/>
      <c r="H212" s="37"/>
      <c r="I212" s="36"/>
      <c r="J212" s="37"/>
      <c r="K212" s="36"/>
      <c r="L212" s="37"/>
      <c r="M212" s="36"/>
      <c r="N212" s="37"/>
      <c r="O212" s="36"/>
      <c r="P212" s="37"/>
      <c r="Q212" s="36"/>
      <c r="R212" s="36"/>
    </row>
    <row r="213" spans="1:18" x14ac:dyDescent="0.25">
      <c r="A213" s="36"/>
      <c r="C213" s="36"/>
      <c r="D213" s="37"/>
      <c r="E213" s="36"/>
      <c r="F213" s="37"/>
      <c r="G213" s="36"/>
      <c r="H213" s="37"/>
      <c r="I213" s="36"/>
      <c r="J213" s="37"/>
      <c r="K213" s="36"/>
      <c r="L213" s="37"/>
      <c r="M213" s="36"/>
      <c r="N213" s="37"/>
      <c r="O213" s="36"/>
      <c r="P213" s="37"/>
      <c r="Q213" s="36"/>
      <c r="R213" s="36"/>
    </row>
    <row r="214" spans="1:18" x14ac:dyDescent="0.25">
      <c r="A214" s="36"/>
      <c r="C214" s="36"/>
      <c r="D214" s="37"/>
      <c r="E214" s="36"/>
      <c r="F214" s="37"/>
      <c r="G214" s="36"/>
      <c r="H214" s="37"/>
      <c r="I214" s="36"/>
      <c r="J214" s="37"/>
      <c r="K214" s="36"/>
      <c r="L214" s="37"/>
      <c r="M214" s="36"/>
      <c r="N214" s="37"/>
      <c r="O214" s="36"/>
      <c r="P214" s="37"/>
      <c r="Q214" s="36"/>
      <c r="R214" s="36"/>
    </row>
    <row r="215" spans="1:18" x14ac:dyDescent="0.25">
      <c r="A215" s="36"/>
      <c r="C215" s="36"/>
      <c r="D215" s="37"/>
      <c r="E215" s="36"/>
      <c r="F215" s="37"/>
      <c r="G215" s="36"/>
      <c r="H215" s="37"/>
      <c r="I215" s="36"/>
      <c r="J215" s="37"/>
      <c r="K215" s="36"/>
      <c r="L215" s="37"/>
      <c r="M215" s="36"/>
      <c r="N215" s="37"/>
      <c r="O215" s="36"/>
      <c r="P215" s="37"/>
      <c r="Q215" s="36"/>
      <c r="R215" s="36"/>
    </row>
    <row r="216" spans="1:18" x14ac:dyDescent="0.25">
      <c r="A216" s="36"/>
      <c r="C216" s="36"/>
      <c r="D216" s="37"/>
      <c r="E216" s="36"/>
      <c r="F216" s="37"/>
      <c r="G216" s="36"/>
      <c r="H216" s="37"/>
      <c r="I216" s="36"/>
      <c r="J216" s="37"/>
      <c r="K216" s="36"/>
      <c r="L216" s="37"/>
      <c r="M216" s="36"/>
      <c r="N216" s="37"/>
      <c r="O216" s="36"/>
      <c r="P216" s="37"/>
      <c r="Q216" s="36"/>
      <c r="R216" s="36"/>
    </row>
    <row r="217" spans="1:18" x14ac:dyDescent="0.25">
      <c r="A217" s="36"/>
      <c r="C217" s="36"/>
      <c r="D217" s="37"/>
      <c r="E217" s="36"/>
      <c r="F217" s="37"/>
      <c r="G217" s="36"/>
      <c r="H217" s="37"/>
      <c r="I217" s="36"/>
      <c r="J217" s="37"/>
      <c r="K217" s="36"/>
      <c r="L217" s="37"/>
      <c r="M217" s="36"/>
      <c r="N217" s="37"/>
      <c r="O217" s="36"/>
      <c r="P217" s="37"/>
      <c r="Q217" s="36"/>
      <c r="R217" s="36"/>
    </row>
    <row r="218" spans="1:18" x14ac:dyDescent="0.25">
      <c r="A218" s="36"/>
      <c r="C218" s="36"/>
      <c r="D218" s="37"/>
      <c r="E218" s="36"/>
      <c r="F218" s="37"/>
      <c r="G218" s="36"/>
      <c r="H218" s="37"/>
      <c r="I218" s="36"/>
      <c r="J218" s="37"/>
      <c r="K218" s="36"/>
      <c r="L218" s="37"/>
      <c r="M218" s="36"/>
      <c r="N218" s="37"/>
      <c r="O218" s="36"/>
      <c r="P218" s="37"/>
      <c r="Q218" s="36"/>
      <c r="R218" s="36"/>
    </row>
    <row r="219" spans="1:18" x14ac:dyDescent="0.25">
      <c r="A219" s="36"/>
      <c r="C219" s="36"/>
      <c r="D219" s="37"/>
      <c r="E219" s="36"/>
      <c r="F219" s="37"/>
      <c r="G219" s="36"/>
      <c r="H219" s="37"/>
      <c r="I219" s="36"/>
      <c r="J219" s="37"/>
      <c r="K219" s="36"/>
      <c r="L219" s="37"/>
      <c r="M219" s="36"/>
      <c r="N219" s="37"/>
      <c r="O219" s="36"/>
      <c r="P219" s="37"/>
      <c r="Q219" s="36"/>
      <c r="R219" s="36"/>
    </row>
    <row r="220" spans="1:18" x14ac:dyDescent="0.25">
      <c r="A220" s="36"/>
      <c r="C220" s="36"/>
      <c r="D220" s="37"/>
      <c r="E220" s="36"/>
      <c r="F220" s="37"/>
      <c r="G220" s="36"/>
      <c r="H220" s="37"/>
      <c r="I220" s="36"/>
      <c r="J220" s="37"/>
      <c r="K220" s="36"/>
      <c r="L220" s="37"/>
      <c r="M220" s="36"/>
      <c r="N220" s="37"/>
      <c r="O220" s="36"/>
      <c r="P220" s="37"/>
      <c r="Q220" s="36"/>
      <c r="R220" s="36"/>
    </row>
    <row r="221" spans="1:18" x14ac:dyDescent="0.25">
      <c r="A221" s="36"/>
      <c r="C221" s="36"/>
      <c r="D221" s="37"/>
      <c r="E221" s="36"/>
      <c r="F221" s="37"/>
      <c r="G221" s="36"/>
      <c r="H221" s="37"/>
      <c r="I221" s="36"/>
      <c r="J221" s="37"/>
      <c r="K221" s="36"/>
      <c r="L221" s="37"/>
      <c r="M221" s="36"/>
      <c r="N221" s="37"/>
      <c r="O221" s="36"/>
      <c r="P221" s="37"/>
      <c r="Q221" s="36"/>
      <c r="R221" s="36"/>
    </row>
    <row r="222" spans="1:18" x14ac:dyDescent="0.25">
      <c r="A222" s="36"/>
      <c r="C222" s="36"/>
      <c r="D222" s="37"/>
      <c r="E222" s="36"/>
      <c r="F222" s="37"/>
      <c r="G222" s="36"/>
      <c r="H222" s="37"/>
      <c r="I222" s="36"/>
      <c r="J222" s="37"/>
      <c r="K222" s="36"/>
      <c r="L222" s="37"/>
      <c r="M222" s="36"/>
      <c r="N222" s="37"/>
      <c r="O222" s="36"/>
      <c r="P222" s="37"/>
      <c r="Q222" s="36"/>
      <c r="R222" s="36"/>
    </row>
    <row r="223" spans="1:18" x14ac:dyDescent="0.25">
      <c r="A223" s="36"/>
      <c r="C223" s="36"/>
      <c r="D223" s="37"/>
      <c r="E223" s="36"/>
      <c r="F223" s="37"/>
      <c r="G223" s="36"/>
      <c r="H223" s="37"/>
      <c r="I223" s="36"/>
      <c r="J223" s="37"/>
      <c r="K223" s="36"/>
      <c r="L223" s="37"/>
      <c r="M223" s="36"/>
      <c r="N223" s="37"/>
      <c r="O223" s="36"/>
      <c r="P223" s="37"/>
      <c r="Q223" s="36"/>
      <c r="R223" s="36"/>
    </row>
    <row r="224" spans="1:18" x14ac:dyDescent="0.25">
      <c r="A224" s="36"/>
      <c r="C224" s="36"/>
      <c r="D224" s="37"/>
      <c r="E224" s="36"/>
      <c r="F224" s="37"/>
      <c r="G224" s="36"/>
      <c r="H224" s="37"/>
      <c r="I224" s="36"/>
      <c r="J224" s="37"/>
      <c r="K224" s="36"/>
      <c r="L224" s="37"/>
      <c r="M224" s="36"/>
      <c r="N224" s="37"/>
      <c r="O224" s="36"/>
      <c r="P224" s="37"/>
      <c r="Q224" s="36"/>
      <c r="R224" s="36"/>
    </row>
    <row r="225" spans="1:18" x14ac:dyDescent="0.25">
      <c r="A225" s="36"/>
      <c r="C225" s="36"/>
      <c r="D225" s="37"/>
      <c r="E225" s="36"/>
      <c r="F225" s="37"/>
      <c r="G225" s="36"/>
      <c r="H225" s="37"/>
      <c r="I225" s="36"/>
      <c r="J225" s="37"/>
      <c r="K225" s="36"/>
      <c r="L225" s="37"/>
      <c r="M225" s="36"/>
      <c r="N225" s="37"/>
      <c r="O225" s="36"/>
      <c r="P225" s="37"/>
      <c r="Q225" s="36"/>
      <c r="R225" s="36"/>
    </row>
    <row r="226" spans="1:18" x14ac:dyDescent="0.25">
      <c r="A226" s="36"/>
      <c r="C226" s="36"/>
      <c r="D226" s="37"/>
      <c r="E226" s="36"/>
      <c r="F226" s="37"/>
      <c r="G226" s="36"/>
      <c r="H226" s="37"/>
      <c r="I226" s="36"/>
      <c r="J226" s="37"/>
      <c r="K226" s="36"/>
      <c r="L226" s="37"/>
      <c r="M226" s="36"/>
      <c r="N226" s="37"/>
      <c r="O226" s="36"/>
      <c r="P226" s="37"/>
      <c r="Q226" s="36"/>
      <c r="R226" s="36"/>
    </row>
    <row r="227" spans="1:18" x14ac:dyDescent="0.25">
      <c r="A227" s="36"/>
      <c r="C227" s="36"/>
      <c r="D227" s="37"/>
      <c r="E227" s="36"/>
      <c r="F227" s="37"/>
      <c r="G227" s="36"/>
      <c r="H227" s="37"/>
      <c r="I227" s="36"/>
      <c r="J227" s="37"/>
      <c r="K227" s="36"/>
      <c r="L227" s="37"/>
      <c r="M227" s="36"/>
      <c r="N227" s="37"/>
      <c r="O227" s="36"/>
      <c r="P227" s="37"/>
      <c r="Q227" s="36"/>
      <c r="R227" s="36"/>
    </row>
    <row r="228" spans="1:18" x14ac:dyDescent="0.25">
      <c r="A228" s="36"/>
      <c r="C228" s="36"/>
      <c r="D228" s="37"/>
      <c r="E228" s="36"/>
      <c r="F228" s="37"/>
      <c r="G228" s="36"/>
      <c r="H228" s="37"/>
      <c r="I228" s="36"/>
      <c r="J228" s="37"/>
      <c r="K228" s="36"/>
      <c r="L228" s="37"/>
      <c r="M228" s="36"/>
      <c r="N228" s="37"/>
      <c r="O228" s="36"/>
      <c r="P228" s="37"/>
      <c r="Q228" s="36"/>
      <c r="R228" s="36"/>
    </row>
    <row r="229" spans="1:18" x14ac:dyDescent="0.25">
      <c r="A229" s="36"/>
      <c r="C229" s="36"/>
      <c r="D229" s="37"/>
      <c r="E229" s="36"/>
      <c r="F229" s="37"/>
      <c r="G229" s="36"/>
      <c r="H229" s="37"/>
      <c r="I229" s="36"/>
      <c r="J229" s="37"/>
      <c r="K229" s="36"/>
      <c r="L229" s="37"/>
      <c r="M229" s="36"/>
      <c r="N229" s="37"/>
      <c r="O229" s="36"/>
      <c r="P229" s="37"/>
      <c r="Q229" s="36"/>
      <c r="R229" s="36"/>
    </row>
    <row r="230" spans="1:18" x14ac:dyDescent="0.25">
      <c r="A230" s="36"/>
      <c r="C230" s="36"/>
      <c r="D230" s="37"/>
      <c r="E230" s="36"/>
      <c r="F230" s="37"/>
      <c r="G230" s="36"/>
      <c r="H230" s="37"/>
      <c r="I230" s="36"/>
      <c r="J230" s="37"/>
      <c r="K230" s="36"/>
      <c r="L230" s="37"/>
      <c r="M230" s="36"/>
      <c r="N230" s="37"/>
      <c r="O230" s="36"/>
      <c r="P230" s="37"/>
      <c r="Q230" s="36"/>
      <c r="R230" s="36"/>
    </row>
    <row r="231" spans="1:18" x14ac:dyDescent="0.25">
      <c r="A231" s="36"/>
      <c r="C231" s="36"/>
      <c r="D231" s="37"/>
      <c r="E231" s="36"/>
      <c r="F231" s="37"/>
      <c r="G231" s="36"/>
      <c r="H231" s="37"/>
      <c r="I231" s="36"/>
      <c r="J231" s="37"/>
      <c r="K231" s="36"/>
      <c r="L231" s="37"/>
      <c r="M231" s="36"/>
      <c r="N231" s="37"/>
      <c r="O231" s="36"/>
      <c r="P231" s="37"/>
      <c r="Q231" s="36"/>
      <c r="R231" s="36"/>
    </row>
    <row r="232" spans="1:18" x14ac:dyDescent="0.25">
      <c r="A232" s="36"/>
      <c r="C232" s="36"/>
      <c r="D232" s="37"/>
      <c r="E232" s="36"/>
      <c r="F232" s="37"/>
      <c r="G232" s="36"/>
      <c r="H232" s="37"/>
      <c r="I232" s="36"/>
      <c r="J232" s="37"/>
      <c r="K232" s="36"/>
      <c r="L232" s="37"/>
      <c r="M232" s="36"/>
      <c r="N232" s="37"/>
      <c r="O232" s="36"/>
      <c r="P232" s="37"/>
      <c r="Q232" s="36"/>
      <c r="R232" s="36"/>
    </row>
    <row r="233" spans="1:18" x14ac:dyDescent="0.25">
      <c r="A233" s="36"/>
      <c r="C233" s="36"/>
      <c r="D233" s="37"/>
      <c r="E233" s="36"/>
      <c r="F233" s="37"/>
      <c r="G233" s="36"/>
      <c r="H233" s="37"/>
      <c r="I233" s="36"/>
      <c r="J233" s="37"/>
      <c r="K233" s="36"/>
      <c r="L233" s="37"/>
      <c r="M233" s="36"/>
      <c r="N233" s="37"/>
      <c r="O233" s="36"/>
      <c r="P233" s="37"/>
      <c r="Q233" s="36"/>
      <c r="R233" s="36"/>
    </row>
    <row r="234" spans="1:18" x14ac:dyDescent="0.25">
      <c r="A234" s="36"/>
      <c r="C234" s="36"/>
      <c r="D234" s="37"/>
      <c r="E234" s="36"/>
      <c r="F234" s="37"/>
      <c r="G234" s="36"/>
      <c r="H234" s="37"/>
      <c r="I234" s="36"/>
      <c r="J234" s="37"/>
      <c r="K234" s="36"/>
      <c r="L234" s="37"/>
      <c r="M234" s="36"/>
      <c r="N234" s="37"/>
      <c r="O234" s="36"/>
      <c r="P234" s="37"/>
      <c r="Q234" s="36"/>
      <c r="R234" s="36"/>
    </row>
    <row r="235" spans="1:18" x14ac:dyDescent="0.25">
      <c r="A235" s="36"/>
      <c r="C235" s="36"/>
      <c r="D235" s="37"/>
      <c r="E235" s="36"/>
      <c r="F235" s="37"/>
      <c r="G235" s="36"/>
      <c r="H235" s="37"/>
      <c r="I235" s="36"/>
      <c r="J235" s="37"/>
      <c r="K235" s="36"/>
      <c r="L235" s="37"/>
      <c r="M235" s="36"/>
      <c r="N235" s="37"/>
      <c r="O235" s="36"/>
      <c r="P235" s="37"/>
      <c r="Q235" s="36"/>
      <c r="R235" s="36"/>
    </row>
    <row r="236" spans="1:18" x14ac:dyDescent="0.25">
      <c r="A236" s="36"/>
      <c r="C236" s="36"/>
      <c r="D236" s="37"/>
      <c r="E236" s="36"/>
      <c r="F236" s="37"/>
      <c r="G236" s="36"/>
      <c r="H236" s="37"/>
      <c r="I236" s="36"/>
      <c r="J236" s="37"/>
      <c r="K236" s="36"/>
      <c r="L236" s="37"/>
      <c r="M236" s="36"/>
      <c r="N236" s="37"/>
      <c r="O236" s="36"/>
      <c r="P236" s="37"/>
      <c r="Q236" s="36"/>
      <c r="R236" s="36"/>
    </row>
    <row r="237" spans="1:18" x14ac:dyDescent="0.25">
      <c r="A237" s="36"/>
      <c r="C237" s="36"/>
      <c r="D237" s="37"/>
      <c r="E237" s="36"/>
      <c r="F237" s="37"/>
      <c r="G237" s="36"/>
      <c r="H237" s="37"/>
      <c r="I237" s="36"/>
      <c r="J237" s="37"/>
      <c r="K237" s="36"/>
      <c r="L237" s="37"/>
      <c r="M237" s="36"/>
      <c r="N237" s="37"/>
      <c r="O237" s="36"/>
      <c r="P237" s="37"/>
      <c r="Q237" s="36"/>
      <c r="R237" s="36"/>
    </row>
    <row r="238" spans="1:18" x14ac:dyDescent="0.25">
      <c r="A238" s="36"/>
      <c r="C238" s="36"/>
      <c r="D238" s="37"/>
      <c r="E238" s="36"/>
      <c r="F238" s="37"/>
      <c r="G238" s="36"/>
      <c r="H238" s="37"/>
      <c r="I238" s="36"/>
      <c r="J238" s="37"/>
      <c r="K238" s="36"/>
      <c r="L238" s="37"/>
      <c r="M238" s="36"/>
      <c r="N238" s="37"/>
      <c r="O238" s="36"/>
      <c r="P238" s="37"/>
      <c r="Q238" s="36"/>
      <c r="R238" s="36"/>
    </row>
    <row r="239" spans="1:18" x14ac:dyDescent="0.25">
      <c r="A239" s="36"/>
      <c r="C239" s="36"/>
      <c r="D239" s="37"/>
      <c r="E239" s="36"/>
      <c r="F239" s="37"/>
      <c r="G239" s="36"/>
      <c r="H239" s="37"/>
      <c r="I239" s="36"/>
      <c r="J239" s="37"/>
      <c r="K239" s="36"/>
      <c r="L239" s="37"/>
      <c r="M239" s="36"/>
      <c r="N239" s="37"/>
      <c r="O239" s="36"/>
      <c r="P239" s="37"/>
      <c r="Q239" s="36"/>
      <c r="R239" s="36"/>
    </row>
    <row r="240" spans="1:18" x14ac:dyDescent="0.25">
      <c r="A240" s="36"/>
      <c r="C240" s="36"/>
      <c r="D240" s="37"/>
      <c r="E240" s="36"/>
      <c r="F240" s="37"/>
      <c r="G240" s="36"/>
      <c r="H240" s="37"/>
      <c r="I240" s="36"/>
      <c r="J240" s="37"/>
      <c r="K240" s="36"/>
      <c r="L240" s="37"/>
      <c r="M240" s="36"/>
      <c r="N240" s="37"/>
      <c r="O240" s="36"/>
      <c r="P240" s="37"/>
      <c r="Q240" s="36"/>
      <c r="R240" s="36"/>
    </row>
    <row r="241" spans="1:18" x14ac:dyDescent="0.25">
      <c r="A241" s="36"/>
      <c r="C241" s="36"/>
      <c r="D241" s="37"/>
      <c r="E241" s="36"/>
      <c r="F241" s="37"/>
      <c r="G241" s="36"/>
      <c r="H241" s="37"/>
      <c r="I241" s="36"/>
      <c r="J241" s="37"/>
      <c r="K241" s="36"/>
      <c r="L241" s="37"/>
      <c r="M241" s="36"/>
      <c r="N241" s="37"/>
      <c r="O241" s="36"/>
      <c r="P241" s="37"/>
      <c r="Q241" s="36"/>
      <c r="R241" s="36"/>
    </row>
    <row r="242" spans="1:18" x14ac:dyDescent="0.25">
      <c r="A242" s="36"/>
      <c r="C242" s="36"/>
      <c r="D242" s="37"/>
      <c r="E242" s="36"/>
      <c r="F242" s="37"/>
      <c r="G242" s="36"/>
      <c r="H242" s="37"/>
      <c r="I242" s="36"/>
      <c r="J242" s="37"/>
      <c r="K242" s="36"/>
      <c r="L242" s="37"/>
      <c r="M242" s="36"/>
      <c r="N242" s="37"/>
      <c r="O242" s="36"/>
      <c r="P242" s="37"/>
      <c r="Q242" s="36"/>
      <c r="R242" s="36"/>
    </row>
    <row r="243" spans="1:18" x14ac:dyDescent="0.25">
      <c r="A243" s="36"/>
      <c r="C243" s="36"/>
      <c r="D243" s="37"/>
      <c r="E243" s="36"/>
      <c r="F243" s="37"/>
      <c r="G243" s="36"/>
      <c r="H243" s="37"/>
      <c r="I243" s="36"/>
      <c r="J243" s="37"/>
      <c r="K243" s="36"/>
      <c r="L243" s="37"/>
      <c r="M243" s="36"/>
      <c r="N243" s="37"/>
      <c r="O243" s="36"/>
      <c r="P243" s="37"/>
      <c r="Q243" s="36"/>
      <c r="R243" s="36"/>
    </row>
    <row r="244" spans="1:18" x14ac:dyDescent="0.25">
      <c r="A244" s="36"/>
      <c r="C244" s="36"/>
      <c r="D244" s="37"/>
      <c r="E244" s="36"/>
      <c r="F244" s="37"/>
      <c r="G244" s="36"/>
      <c r="H244" s="37"/>
      <c r="I244" s="36"/>
      <c r="J244" s="37"/>
      <c r="K244" s="36"/>
      <c r="L244" s="37"/>
      <c r="M244" s="36"/>
      <c r="N244" s="37"/>
      <c r="O244" s="36"/>
      <c r="P244" s="37"/>
      <c r="Q244" s="36"/>
      <c r="R244" s="36"/>
    </row>
    <row r="245" spans="1:18" x14ac:dyDescent="0.25">
      <c r="A245" s="36"/>
      <c r="C245" s="36"/>
      <c r="D245" s="37"/>
      <c r="E245" s="36"/>
      <c r="F245" s="37"/>
      <c r="G245" s="36"/>
      <c r="H245" s="37"/>
      <c r="I245" s="36"/>
      <c r="J245" s="37"/>
      <c r="K245" s="36"/>
      <c r="L245" s="37"/>
      <c r="M245" s="36"/>
      <c r="N245" s="37"/>
      <c r="O245" s="36"/>
      <c r="P245" s="37"/>
      <c r="Q245" s="36"/>
      <c r="R245" s="36"/>
    </row>
    <row r="246" spans="1:18" x14ac:dyDescent="0.25">
      <c r="A246" s="36"/>
      <c r="C246" s="36"/>
      <c r="D246" s="37"/>
      <c r="E246" s="36"/>
      <c r="F246" s="37"/>
      <c r="G246" s="36"/>
      <c r="H246" s="37"/>
      <c r="I246" s="36"/>
      <c r="J246" s="37"/>
      <c r="K246" s="36"/>
      <c r="L246" s="37"/>
      <c r="M246" s="36"/>
      <c r="N246" s="37"/>
      <c r="O246" s="36"/>
      <c r="P246" s="37"/>
      <c r="Q246" s="36"/>
      <c r="R246" s="36"/>
    </row>
    <row r="247" spans="1:18" x14ac:dyDescent="0.25">
      <c r="A247" s="36"/>
      <c r="C247" s="36"/>
      <c r="D247" s="37"/>
      <c r="E247" s="36"/>
      <c r="F247" s="37"/>
      <c r="G247" s="36"/>
      <c r="H247" s="37"/>
      <c r="I247" s="36"/>
      <c r="J247" s="37"/>
      <c r="K247" s="36"/>
      <c r="L247" s="37"/>
      <c r="M247" s="36"/>
      <c r="N247" s="37"/>
      <c r="O247" s="36"/>
      <c r="P247" s="37"/>
      <c r="Q247" s="36"/>
      <c r="R247" s="36"/>
    </row>
    <row r="248" spans="1:18" x14ac:dyDescent="0.25">
      <c r="A248" s="36"/>
      <c r="C248" s="36"/>
      <c r="D248" s="37"/>
      <c r="E248" s="36"/>
      <c r="F248" s="37"/>
      <c r="G248" s="36"/>
      <c r="H248" s="37"/>
      <c r="I248" s="36"/>
      <c r="J248" s="37"/>
      <c r="K248" s="36"/>
      <c r="L248" s="37"/>
      <c r="M248" s="36"/>
      <c r="N248" s="37"/>
      <c r="O248" s="36"/>
      <c r="P248" s="37"/>
      <c r="Q248" s="36"/>
      <c r="R248" s="36"/>
    </row>
    <row r="249" spans="1:18" x14ac:dyDescent="0.25">
      <c r="A249" s="36"/>
      <c r="C249" s="36"/>
      <c r="D249" s="37"/>
      <c r="E249" s="36"/>
      <c r="F249" s="37"/>
      <c r="G249" s="36"/>
      <c r="H249" s="37"/>
      <c r="I249" s="36"/>
      <c r="J249" s="37"/>
      <c r="K249" s="36"/>
      <c r="L249" s="37"/>
      <c r="M249" s="36"/>
      <c r="N249" s="37"/>
      <c r="O249" s="36"/>
      <c r="P249" s="37"/>
      <c r="Q249" s="36"/>
      <c r="R249" s="36"/>
    </row>
    <row r="250" spans="1:18" x14ac:dyDescent="0.25">
      <c r="A250" s="36"/>
      <c r="C250" s="36"/>
      <c r="D250" s="37"/>
      <c r="E250" s="36"/>
      <c r="F250" s="37"/>
      <c r="G250" s="36"/>
      <c r="H250" s="37"/>
      <c r="I250" s="36"/>
      <c r="J250" s="37"/>
      <c r="K250" s="36"/>
      <c r="L250" s="37"/>
      <c r="M250" s="36"/>
      <c r="N250" s="37"/>
      <c r="O250" s="36"/>
      <c r="P250" s="37"/>
      <c r="Q250" s="36"/>
      <c r="R250" s="36"/>
    </row>
    <row r="251" spans="1:18" x14ac:dyDescent="0.25">
      <c r="A251" s="36"/>
      <c r="C251" s="36"/>
      <c r="D251" s="37"/>
      <c r="E251" s="36"/>
      <c r="F251" s="37"/>
      <c r="G251" s="36"/>
      <c r="H251" s="37"/>
      <c r="I251" s="36"/>
      <c r="J251" s="37"/>
      <c r="K251" s="36"/>
      <c r="L251" s="37"/>
      <c r="M251" s="36"/>
      <c r="N251" s="37"/>
      <c r="O251" s="36"/>
      <c r="P251" s="37"/>
      <c r="Q251" s="36"/>
      <c r="R251" s="36"/>
    </row>
    <row r="252" spans="1:18" x14ac:dyDescent="0.25">
      <c r="A252" s="36"/>
      <c r="C252" s="36"/>
      <c r="D252" s="37"/>
      <c r="E252" s="36"/>
      <c r="F252" s="37"/>
      <c r="G252" s="36"/>
      <c r="H252" s="37"/>
      <c r="I252" s="36"/>
      <c r="J252" s="37"/>
      <c r="K252" s="36"/>
      <c r="L252" s="37"/>
      <c r="M252" s="36"/>
      <c r="N252" s="37"/>
      <c r="O252" s="36"/>
      <c r="P252" s="37"/>
      <c r="Q252" s="36"/>
      <c r="R252" s="36"/>
    </row>
    <row r="253" spans="1:18" x14ac:dyDescent="0.25">
      <c r="A253" s="36"/>
      <c r="C253" s="36"/>
      <c r="D253" s="37"/>
      <c r="E253" s="36"/>
      <c r="F253" s="37"/>
      <c r="G253" s="36"/>
      <c r="H253" s="37"/>
      <c r="I253" s="36"/>
      <c r="J253" s="37"/>
      <c r="K253" s="36"/>
      <c r="L253" s="37"/>
      <c r="M253" s="36"/>
      <c r="N253" s="37"/>
      <c r="O253" s="36"/>
      <c r="P253" s="37"/>
      <c r="Q253" s="36"/>
      <c r="R253" s="36"/>
    </row>
    <row r="254" spans="1:18" x14ac:dyDescent="0.25">
      <c r="A254" s="36"/>
      <c r="C254" s="36"/>
      <c r="D254" s="37"/>
      <c r="E254" s="36"/>
      <c r="F254" s="37"/>
      <c r="G254" s="36"/>
      <c r="H254" s="37"/>
      <c r="I254" s="36"/>
      <c r="J254" s="37"/>
      <c r="K254" s="36"/>
      <c r="L254" s="37"/>
      <c r="M254" s="36"/>
      <c r="N254" s="37"/>
      <c r="O254" s="36"/>
      <c r="P254" s="37"/>
      <c r="Q254" s="36"/>
      <c r="R254" s="36"/>
    </row>
    <row r="255" spans="1:18" x14ac:dyDescent="0.25">
      <c r="A255" s="36"/>
      <c r="C255" s="36"/>
      <c r="D255" s="37"/>
      <c r="E255" s="36"/>
      <c r="F255" s="37"/>
      <c r="G255" s="36"/>
      <c r="H255" s="37"/>
      <c r="I255" s="36"/>
      <c r="J255" s="37"/>
      <c r="K255" s="36"/>
      <c r="L255" s="37"/>
      <c r="M255" s="36"/>
      <c r="N255" s="37"/>
      <c r="O255" s="36"/>
      <c r="P255" s="37"/>
      <c r="Q255" s="36"/>
      <c r="R255" s="36"/>
    </row>
    <row r="256" spans="1:18" x14ac:dyDescent="0.25">
      <c r="A256" s="36"/>
      <c r="C256" s="36"/>
      <c r="D256" s="37"/>
      <c r="E256" s="36"/>
      <c r="F256" s="37"/>
      <c r="G256" s="36"/>
      <c r="H256" s="37"/>
      <c r="I256" s="36"/>
      <c r="J256" s="37"/>
      <c r="K256" s="36"/>
      <c r="L256" s="37"/>
      <c r="M256" s="36"/>
      <c r="N256" s="37"/>
      <c r="O256" s="36"/>
      <c r="P256" s="37"/>
      <c r="Q256" s="36"/>
      <c r="R256" s="36"/>
    </row>
    <row r="257" spans="1:18" x14ac:dyDescent="0.25">
      <c r="A257" s="36"/>
      <c r="C257" s="36"/>
      <c r="D257" s="37"/>
      <c r="E257" s="36"/>
      <c r="F257" s="37"/>
      <c r="G257" s="36"/>
      <c r="H257" s="37"/>
      <c r="I257" s="36"/>
      <c r="J257" s="37"/>
      <c r="K257" s="36"/>
      <c r="L257" s="37"/>
      <c r="M257" s="36"/>
      <c r="N257" s="37"/>
      <c r="O257" s="36"/>
      <c r="P257" s="37"/>
      <c r="Q257" s="36"/>
      <c r="R257" s="36"/>
    </row>
    <row r="258" spans="1:18" x14ac:dyDescent="0.25">
      <c r="A258" s="36"/>
      <c r="C258" s="36"/>
      <c r="D258" s="37"/>
      <c r="E258" s="36"/>
      <c r="F258" s="37"/>
      <c r="G258" s="36"/>
      <c r="H258" s="37"/>
      <c r="I258" s="36"/>
      <c r="J258" s="37"/>
      <c r="K258" s="36"/>
      <c r="L258" s="37"/>
      <c r="M258" s="36"/>
      <c r="N258" s="37"/>
      <c r="O258" s="36"/>
      <c r="P258" s="37"/>
      <c r="Q258" s="36"/>
      <c r="R258" s="36"/>
    </row>
    <row r="259" spans="1:18" x14ac:dyDescent="0.25">
      <c r="A259" s="36"/>
      <c r="C259" s="36"/>
      <c r="D259" s="37"/>
      <c r="E259" s="36"/>
      <c r="F259" s="37"/>
      <c r="G259" s="36"/>
      <c r="H259" s="37"/>
      <c r="I259" s="36"/>
      <c r="J259" s="37"/>
      <c r="K259" s="36"/>
      <c r="L259" s="37"/>
      <c r="M259" s="36"/>
      <c r="N259" s="37"/>
      <c r="O259" s="36"/>
      <c r="P259" s="37"/>
      <c r="Q259" s="36"/>
      <c r="R259" s="36"/>
    </row>
    <row r="260" spans="1:18" x14ac:dyDescent="0.25">
      <c r="A260" s="36"/>
      <c r="C260" s="36"/>
      <c r="D260" s="37"/>
      <c r="E260" s="36"/>
      <c r="F260" s="37"/>
      <c r="G260" s="36"/>
      <c r="H260" s="37"/>
      <c r="I260" s="36"/>
      <c r="J260" s="37"/>
      <c r="K260" s="36"/>
      <c r="L260" s="37"/>
      <c r="M260" s="36"/>
      <c r="N260" s="37"/>
      <c r="O260" s="36"/>
      <c r="P260" s="37"/>
      <c r="Q260" s="36"/>
      <c r="R260" s="36"/>
    </row>
    <row r="261" spans="1:18" x14ac:dyDescent="0.25">
      <c r="A261" s="36"/>
      <c r="C261" s="36"/>
      <c r="D261" s="37"/>
      <c r="E261" s="36"/>
      <c r="F261" s="37"/>
      <c r="G261" s="36"/>
      <c r="H261" s="37"/>
      <c r="I261" s="36"/>
      <c r="J261" s="37"/>
      <c r="K261" s="36"/>
      <c r="L261" s="37"/>
      <c r="M261" s="36"/>
      <c r="N261" s="37"/>
      <c r="O261" s="36"/>
      <c r="P261" s="37"/>
      <c r="Q261" s="36"/>
      <c r="R261" s="36"/>
    </row>
    <row r="262" spans="1:18" x14ac:dyDescent="0.25">
      <c r="A262" s="36"/>
      <c r="C262" s="36"/>
      <c r="D262" s="37"/>
      <c r="E262" s="36"/>
      <c r="F262" s="37"/>
      <c r="G262" s="36"/>
      <c r="H262" s="37"/>
      <c r="I262" s="36"/>
      <c r="J262" s="37"/>
      <c r="K262" s="36"/>
      <c r="L262" s="37"/>
      <c r="M262" s="36"/>
      <c r="N262" s="37"/>
      <c r="O262" s="36"/>
      <c r="P262" s="37"/>
      <c r="Q262" s="36"/>
      <c r="R262" s="36"/>
    </row>
    <row r="263" spans="1:18" x14ac:dyDescent="0.25">
      <c r="A263" s="36"/>
      <c r="C263" s="36"/>
      <c r="D263" s="37"/>
      <c r="E263" s="36"/>
      <c r="F263" s="37"/>
      <c r="G263" s="36"/>
      <c r="H263" s="37"/>
      <c r="I263" s="36"/>
      <c r="J263" s="37"/>
      <c r="K263" s="36"/>
      <c r="L263" s="37"/>
      <c r="M263" s="36"/>
      <c r="N263" s="37"/>
      <c r="O263" s="36"/>
      <c r="P263" s="37"/>
      <c r="Q263" s="36"/>
      <c r="R263" s="36"/>
    </row>
    <row r="264" spans="1:18" x14ac:dyDescent="0.25">
      <c r="A264" s="36"/>
      <c r="C264" s="36"/>
      <c r="D264" s="37"/>
      <c r="E264" s="36"/>
      <c r="F264" s="37"/>
      <c r="G264" s="36"/>
      <c r="H264" s="37"/>
      <c r="I264" s="36"/>
      <c r="J264" s="37"/>
      <c r="K264" s="36"/>
      <c r="L264" s="37"/>
      <c r="M264" s="36"/>
      <c r="N264" s="37"/>
      <c r="O264" s="36"/>
      <c r="P264" s="37"/>
      <c r="Q264" s="36"/>
      <c r="R264" s="36"/>
    </row>
    <row r="265" spans="1:18" x14ac:dyDescent="0.25">
      <c r="A265" s="36"/>
      <c r="C265" s="36"/>
      <c r="D265" s="37"/>
      <c r="E265" s="36"/>
      <c r="F265" s="37"/>
      <c r="G265" s="36"/>
      <c r="H265" s="37"/>
      <c r="I265" s="36"/>
      <c r="J265" s="37"/>
      <c r="K265" s="36"/>
      <c r="L265" s="37"/>
      <c r="M265" s="36"/>
      <c r="N265" s="37"/>
      <c r="O265" s="36"/>
      <c r="P265" s="37"/>
      <c r="Q265" s="36"/>
      <c r="R265" s="36"/>
    </row>
    <row r="266" spans="1:18" x14ac:dyDescent="0.25">
      <c r="A266" s="36"/>
      <c r="C266" s="36"/>
      <c r="D266" s="37"/>
      <c r="E266" s="36"/>
      <c r="F266" s="37"/>
      <c r="G266" s="36"/>
      <c r="H266" s="37"/>
      <c r="I266" s="36"/>
      <c r="J266" s="37"/>
      <c r="K266" s="36"/>
      <c r="L266" s="37"/>
      <c r="M266" s="36"/>
      <c r="N266" s="37"/>
      <c r="O266" s="36"/>
      <c r="P266" s="37"/>
      <c r="Q266" s="36"/>
      <c r="R266" s="36"/>
    </row>
    <row r="267" spans="1:18" x14ac:dyDescent="0.25">
      <c r="A267" s="36"/>
      <c r="C267" s="36"/>
      <c r="D267" s="37"/>
      <c r="E267" s="36"/>
      <c r="F267" s="37"/>
      <c r="G267" s="36"/>
      <c r="H267" s="37"/>
      <c r="I267" s="36"/>
      <c r="J267" s="37"/>
      <c r="K267" s="36"/>
      <c r="L267" s="37"/>
      <c r="M267" s="36"/>
      <c r="N267" s="37"/>
      <c r="O267" s="36"/>
      <c r="P267" s="37"/>
      <c r="Q267" s="36"/>
      <c r="R267" s="36"/>
    </row>
    <row r="268" spans="1:18" x14ac:dyDescent="0.25">
      <c r="A268" s="36"/>
      <c r="C268" s="36"/>
      <c r="D268" s="37"/>
      <c r="E268" s="36"/>
      <c r="F268" s="37"/>
      <c r="G268" s="36"/>
      <c r="H268" s="37"/>
      <c r="I268" s="36"/>
      <c r="J268" s="37"/>
      <c r="K268" s="36"/>
      <c r="L268" s="37"/>
      <c r="M268" s="36"/>
      <c r="N268" s="37"/>
      <c r="O268" s="36"/>
      <c r="P268" s="37"/>
      <c r="Q268" s="36"/>
      <c r="R268" s="36"/>
    </row>
    <row r="269" spans="1:18" x14ac:dyDescent="0.25">
      <c r="A269" s="36"/>
      <c r="C269" s="36"/>
      <c r="D269" s="37"/>
      <c r="E269" s="36"/>
      <c r="F269" s="37"/>
      <c r="G269" s="36"/>
      <c r="H269" s="37"/>
      <c r="I269" s="36"/>
      <c r="J269" s="37"/>
      <c r="K269" s="36"/>
      <c r="L269" s="37"/>
      <c r="M269" s="36"/>
      <c r="N269" s="37"/>
      <c r="O269" s="36"/>
      <c r="P269" s="37"/>
      <c r="Q269" s="36"/>
      <c r="R269" s="36"/>
    </row>
    <row r="270" spans="1:18" x14ac:dyDescent="0.25">
      <c r="A270" s="36"/>
      <c r="C270" s="36"/>
      <c r="D270" s="37"/>
      <c r="E270" s="36"/>
      <c r="F270" s="37"/>
      <c r="G270" s="36"/>
      <c r="H270" s="37"/>
      <c r="I270" s="36"/>
      <c r="J270" s="37"/>
      <c r="K270" s="36"/>
      <c r="L270" s="37"/>
      <c r="M270" s="36"/>
      <c r="N270" s="37"/>
      <c r="O270" s="36"/>
      <c r="P270" s="37"/>
      <c r="Q270" s="36"/>
      <c r="R270" s="36"/>
    </row>
    <row r="271" spans="1:18" x14ac:dyDescent="0.25">
      <c r="A271" s="36"/>
      <c r="C271" s="36"/>
      <c r="D271" s="37"/>
      <c r="E271" s="36"/>
      <c r="F271" s="37"/>
      <c r="G271" s="36"/>
      <c r="H271" s="37"/>
      <c r="I271" s="36"/>
      <c r="J271" s="37"/>
      <c r="K271" s="36"/>
      <c r="L271" s="37"/>
      <c r="M271" s="36"/>
      <c r="N271" s="37"/>
      <c r="O271" s="36"/>
      <c r="P271" s="37"/>
      <c r="Q271" s="36"/>
      <c r="R271" s="36"/>
    </row>
    <row r="272" spans="1:18" x14ac:dyDescent="0.25">
      <c r="A272" s="36"/>
      <c r="C272" s="36"/>
      <c r="D272" s="37"/>
      <c r="E272" s="36"/>
      <c r="F272" s="37"/>
      <c r="G272" s="36"/>
      <c r="H272" s="37"/>
      <c r="I272" s="36"/>
      <c r="J272" s="37"/>
      <c r="K272" s="36"/>
      <c r="L272" s="37"/>
      <c r="M272" s="36"/>
      <c r="N272" s="37"/>
      <c r="O272" s="36"/>
      <c r="P272" s="37"/>
      <c r="Q272" s="36"/>
      <c r="R272" s="36"/>
    </row>
    <row r="273" spans="1:18" x14ac:dyDescent="0.25">
      <c r="A273" s="36"/>
      <c r="C273" s="36"/>
      <c r="D273" s="37"/>
      <c r="E273" s="36"/>
      <c r="F273" s="37"/>
      <c r="G273" s="36"/>
      <c r="H273" s="37"/>
      <c r="I273" s="36"/>
      <c r="J273" s="37"/>
      <c r="K273" s="36"/>
      <c r="L273" s="37"/>
      <c r="M273" s="36"/>
      <c r="N273" s="37"/>
      <c r="O273" s="36"/>
      <c r="P273" s="37"/>
      <c r="Q273" s="36"/>
      <c r="R273" s="36"/>
    </row>
    <row r="274" spans="1:18" x14ac:dyDescent="0.25">
      <c r="A274" s="36"/>
      <c r="C274" s="36"/>
      <c r="D274" s="37"/>
      <c r="E274" s="36"/>
      <c r="F274" s="37"/>
      <c r="G274" s="36"/>
      <c r="H274" s="37"/>
      <c r="I274" s="36"/>
      <c r="J274" s="37"/>
      <c r="K274" s="36"/>
      <c r="L274" s="37"/>
      <c r="M274" s="36"/>
      <c r="N274" s="37"/>
      <c r="O274" s="36"/>
      <c r="P274" s="37"/>
      <c r="Q274" s="36"/>
      <c r="R274" s="36"/>
    </row>
    <row r="275" spans="1:18" x14ac:dyDescent="0.25">
      <c r="A275" s="36"/>
      <c r="C275" s="36"/>
      <c r="D275" s="37"/>
      <c r="E275" s="36"/>
      <c r="F275" s="37"/>
      <c r="G275" s="36"/>
      <c r="H275" s="37"/>
      <c r="I275" s="36"/>
      <c r="J275" s="37"/>
      <c r="K275" s="36"/>
      <c r="L275" s="37"/>
      <c r="M275" s="36"/>
      <c r="N275" s="37"/>
      <c r="O275" s="36"/>
      <c r="P275" s="37"/>
      <c r="Q275" s="36"/>
      <c r="R275" s="36"/>
    </row>
    <row r="276" spans="1:18" x14ac:dyDescent="0.25">
      <c r="A276" s="36"/>
      <c r="C276" s="36"/>
      <c r="D276" s="37"/>
      <c r="E276" s="36"/>
      <c r="F276" s="37"/>
      <c r="G276" s="36"/>
      <c r="H276" s="37"/>
      <c r="I276" s="36"/>
      <c r="J276" s="37"/>
      <c r="K276" s="36"/>
      <c r="L276" s="37"/>
      <c r="M276" s="36"/>
      <c r="N276" s="37"/>
      <c r="O276" s="36"/>
      <c r="P276" s="37"/>
      <c r="Q276" s="36"/>
      <c r="R276" s="36"/>
    </row>
    <row r="277" spans="1:18" x14ac:dyDescent="0.25">
      <c r="A277" s="36"/>
      <c r="C277" s="36"/>
      <c r="D277" s="37"/>
      <c r="E277" s="36"/>
      <c r="F277" s="37"/>
      <c r="G277" s="36"/>
      <c r="H277" s="37"/>
      <c r="I277" s="36"/>
      <c r="J277" s="37"/>
      <c r="K277" s="36"/>
      <c r="L277" s="37"/>
      <c r="M277" s="36"/>
      <c r="N277" s="37"/>
      <c r="O277" s="36"/>
      <c r="P277" s="37"/>
      <c r="Q277" s="36"/>
      <c r="R277" s="36"/>
    </row>
    <row r="278" spans="1:18" x14ac:dyDescent="0.25">
      <c r="A278" s="36"/>
      <c r="C278" s="36"/>
      <c r="D278" s="37"/>
      <c r="E278" s="36"/>
      <c r="F278" s="37"/>
      <c r="G278" s="36"/>
      <c r="H278" s="37"/>
      <c r="I278" s="36"/>
      <c r="J278" s="37"/>
      <c r="K278" s="36"/>
      <c r="L278" s="37"/>
      <c r="M278" s="36"/>
      <c r="N278" s="37"/>
      <c r="O278" s="36"/>
      <c r="P278" s="37"/>
      <c r="Q278" s="36"/>
      <c r="R278" s="36"/>
    </row>
    <row r="279" spans="1:18" x14ac:dyDescent="0.25">
      <c r="A279" s="36"/>
      <c r="C279" s="36"/>
      <c r="D279" s="37"/>
      <c r="E279" s="36"/>
      <c r="F279" s="37"/>
      <c r="G279" s="36"/>
      <c r="H279" s="37"/>
      <c r="I279" s="36"/>
      <c r="J279" s="37"/>
      <c r="K279" s="36"/>
      <c r="L279" s="37"/>
      <c r="M279" s="36"/>
      <c r="N279" s="37"/>
      <c r="O279" s="36"/>
      <c r="P279" s="37"/>
      <c r="Q279" s="36"/>
      <c r="R279" s="36"/>
    </row>
    <row r="280" spans="1:18" x14ac:dyDescent="0.25">
      <c r="A280" s="36"/>
      <c r="C280" s="36"/>
      <c r="D280" s="37"/>
      <c r="E280" s="36"/>
      <c r="F280" s="37"/>
      <c r="G280" s="36"/>
      <c r="H280" s="37"/>
      <c r="I280" s="36"/>
      <c r="J280" s="37"/>
      <c r="K280" s="36"/>
      <c r="L280" s="37"/>
      <c r="M280" s="36"/>
      <c r="N280" s="37"/>
      <c r="O280" s="36"/>
      <c r="P280" s="37"/>
      <c r="Q280" s="36"/>
      <c r="R280" s="36"/>
    </row>
    <row r="281" spans="1:18" x14ac:dyDescent="0.25">
      <c r="A281" s="36"/>
      <c r="C281" s="36"/>
      <c r="D281" s="37"/>
      <c r="E281" s="36"/>
      <c r="F281" s="37"/>
      <c r="G281" s="36"/>
      <c r="H281" s="37"/>
      <c r="I281" s="36"/>
      <c r="J281" s="37"/>
      <c r="K281" s="36"/>
      <c r="L281" s="37"/>
      <c r="M281" s="36"/>
      <c r="N281" s="37"/>
      <c r="O281" s="36"/>
      <c r="P281" s="37"/>
      <c r="Q281" s="36"/>
      <c r="R281" s="36"/>
    </row>
    <row r="282" spans="1:18" x14ac:dyDescent="0.25">
      <c r="A282" s="36"/>
      <c r="C282" s="36"/>
      <c r="D282" s="37"/>
      <c r="E282" s="36"/>
      <c r="F282" s="37"/>
      <c r="G282" s="36"/>
      <c r="H282" s="37"/>
      <c r="I282" s="36"/>
      <c r="J282" s="37"/>
      <c r="K282" s="36"/>
      <c r="L282" s="37"/>
      <c r="M282" s="36"/>
      <c r="N282" s="37"/>
      <c r="O282" s="36"/>
      <c r="P282" s="37"/>
      <c r="Q282" s="36"/>
      <c r="R282" s="36"/>
    </row>
    <row r="283" spans="1:18" x14ac:dyDescent="0.25">
      <c r="A283" s="36"/>
      <c r="C283" s="36"/>
      <c r="D283" s="37"/>
      <c r="E283" s="36"/>
      <c r="F283" s="37"/>
      <c r="G283" s="36"/>
      <c r="H283" s="37"/>
      <c r="I283" s="36"/>
      <c r="J283" s="37"/>
      <c r="K283" s="36"/>
      <c r="L283" s="37"/>
      <c r="M283" s="36"/>
      <c r="N283" s="37"/>
      <c r="O283" s="36"/>
      <c r="P283" s="37"/>
      <c r="Q283" s="36"/>
      <c r="R283" s="36"/>
    </row>
    <row r="284" spans="1:18" x14ac:dyDescent="0.25">
      <c r="A284" s="36"/>
      <c r="C284" s="36"/>
      <c r="D284" s="37"/>
      <c r="E284" s="36"/>
      <c r="F284" s="37"/>
      <c r="G284" s="36"/>
      <c r="H284" s="37"/>
      <c r="I284" s="36"/>
      <c r="J284" s="37"/>
      <c r="K284" s="36"/>
      <c r="L284" s="37"/>
      <c r="M284" s="36"/>
      <c r="N284" s="37"/>
      <c r="O284" s="36"/>
      <c r="P284" s="37"/>
      <c r="Q284" s="36"/>
      <c r="R284" s="36"/>
    </row>
    <row r="285" spans="1:18" x14ac:dyDescent="0.25">
      <c r="A285" s="36"/>
      <c r="C285" s="36"/>
      <c r="D285" s="37"/>
      <c r="E285" s="36"/>
      <c r="F285" s="37"/>
      <c r="G285" s="36"/>
      <c r="H285" s="37"/>
      <c r="I285" s="36"/>
      <c r="J285" s="37"/>
      <c r="K285" s="36"/>
      <c r="L285" s="37"/>
      <c r="M285" s="36"/>
      <c r="N285" s="37"/>
      <c r="O285" s="36"/>
      <c r="P285" s="37"/>
      <c r="Q285" s="36"/>
      <c r="R285" s="36"/>
    </row>
    <row r="286" spans="1:18" x14ac:dyDescent="0.25">
      <c r="A286" s="36"/>
      <c r="C286" s="36"/>
      <c r="D286" s="37"/>
      <c r="E286" s="36"/>
      <c r="F286" s="37"/>
      <c r="G286" s="36"/>
      <c r="H286" s="37"/>
      <c r="I286" s="36"/>
      <c r="J286" s="37"/>
      <c r="K286" s="36"/>
      <c r="L286" s="37"/>
      <c r="M286" s="36"/>
      <c r="N286" s="37"/>
      <c r="O286" s="36"/>
      <c r="P286" s="37"/>
      <c r="Q286" s="36"/>
      <c r="R286" s="36"/>
    </row>
    <row r="287" spans="1:18" x14ac:dyDescent="0.25">
      <c r="A287" s="36"/>
      <c r="C287" s="36"/>
      <c r="D287" s="37"/>
      <c r="E287" s="36"/>
      <c r="F287" s="37"/>
      <c r="G287" s="36"/>
      <c r="H287" s="37"/>
      <c r="I287" s="36"/>
      <c r="J287" s="37"/>
      <c r="K287" s="36"/>
      <c r="L287" s="37"/>
      <c r="M287" s="36"/>
      <c r="N287" s="37"/>
      <c r="O287" s="36"/>
      <c r="P287" s="37"/>
      <c r="Q287" s="36"/>
      <c r="R287" s="36"/>
    </row>
    <row r="288" spans="1:18" x14ac:dyDescent="0.25">
      <c r="A288" s="36"/>
      <c r="C288" s="36"/>
      <c r="D288" s="37"/>
      <c r="E288" s="36"/>
      <c r="F288" s="37"/>
      <c r="G288" s="36"/>
      <c r="H288" s="37"/>
      <c r="I288" s="36"/>
      <c r="J288" s="37"/>
      <c r="K288" s="36"/>
      <c r="L288" s="37"/>
      <c r="M288" s="36"/>
      <c r="N288" s="37"/>
      <c r="O288" s="36"/>
      <c r="P288" s="37"/>
      <c r="Q288" s="36"/>
      <c r="R288" s="36"/>
    </row>
    <row r="289" spans="1:18" x14ac:dyDescent="0.25">
      <c r="A289" s="36"/>
      <c r="C289" s="36"/>
      <c r="D289" s="37"/>
      <c r="E289" s="36"/>
      <c r="F289" s="37"/>
      <c r="G289" s="36"/>
      <c r="H289" s="37"/>
      <c r="I289" s="36"/>
      <c r="J289" s="37"/>
      <c r="K289" s="36"/>
      <c r="L289" s="37"/>
      <c r="M289" s="36"/>
      <c r="N289" s="37"/>
      <c r="O289" s="36"/>
      <c r="P289" s="37"/>
      <c r="Q289" s="36"/>
      <c r="R289" s="36"/>
    </row>
    <row r="290" spans="1:18" x14ac:dyDescent="0.25">
      <c r="A290" s="36"/>
      <c r="C290" s="36"/>
      <c r="D290" s="37"/>
      <c r="E290" s="36"/>
      <c r="F290" s="37"/>
      <c r="G290" s="36"/>
      <c r="H290" s="37"/>
      <c r="I290" s="36"/>
      <c r="J290" s="37"/>
      <c r="K290" s="36"/>
      <c r="L290" s="37"/>
      <c r="M290" s="36"/>
      <c r="N290" s="37"/>
      <c r="O290" s="36"/>
      <c r="P290" s="37"/>
      <c r="Q290" s="36"/>
      <c r="R290" s="36"/>
    </row>
    <row r="291" spans="1:18" x14ac:dyDescent="0.25">
      <c r="A291" s="36"/>
      <c r="C291" s="36"/>
      <c r="D291" s="37"/>
      <c r="E291" s="36"/>
      <c r="F291" s="37"/>
      <c r="G291" s="36"/>
      <c r="H291" s="37"/>
      <c r="I291" s="36"/>
      <c r="J291" s="37"/>
      <c r="K291" s="36"/>
      <c r="L291" s="37"/>
      <c r="M291" s="36"/>
      <c r="N291" s="37"/>
      <c r="O291" s="36"/>
      <c r="P291" s="37"/>
      <c r="Q291" s="36"/>
      <c r="R291" s="36"/>
    </row>
    <row r="292" spans="1:18" x14ac:dyDescent="0.25">
      <c r="A292" s="36"/>
      <c r="C292" s="36"/>
      <c r="D292" s="37"/>
      <c r="E292" s="36"/>
      <c r="F292" s="37"/>
      <c r="G292" s="36"/>
      <c r="H292" s="37"/>
      <c r="I292" s="36"/>
      <c r="J292" s="37"/>
      <c r="K292" s="36"/>
      <c r="L292" s="37"/>
      <c r="M292" s="36"/>
      <c r="N292" s="37"/>
      <c r="O292" s="36"/>
      <c r="P292" s="37"/>
      <c r="Q292" s="36"/>
      <c r="R292" s="36"/>
    </row>
    <row r="293" spans="1:18" x14ac:dyDescent="0.25">
      <c r="A293" s="36"/>
      <c r="C293" s="36"/>
      <c r="D293" s="37"/>
      <c r="E293" s="36"/>
      <c r="F293" s="37"/>
      <c r="G293" s="36"/>
      <c r="H293" s="37"/>
      <c r="I293" s="36"/>
      <c r="J293" s="37"/>
      <c r="K293" s="36"/>
      <c r="L293" s="37"/>
      <c r="M293" s="36"/>
      <c r="N293" s="37"/>
      <c r="O293" s="36"/>
      <c r="P293" s="37"/>
      <c r="Q293" s="36"/>
      <c r="R293" s="36"/>
    </row>
    <row r="294" spans="1:18" x14ac:dyDescent="0.25">
      <c r="A294" s="36"/>
      <c r="C294" s="36"/>
      <c r="D294" s="37"/>
      <c r="E294" s="36"/>
      <c r="F294" s="37"/>
      <c r="G294" s="36"/>
      <c r="H294" s="37"/>
      <c r="I294" s="36"/>
      <c r="J294" s="37"/>
      <c r="K294" s="36"/>
      <c r="L294" s="37"/>
      <c r="M294" s="36"/>
      <c r="N294" s="37"/>
      <c r="O294" s="36"/>
      <c r="P294" s="37"/>
      <c r="Q294" s="36"/>
      <c r="R294" s="36"/>
    </row>
    <row r="295" spans="1:18" x14ac:dyDescent="0.25">
      <c r="A295" s="36"/>
      <c r="C295" s="36"/>
      <c r="D295" s="37"/>
      <c r="E295" s="36"/>
      <c r="F295" s="37"/>
      <c r="G295" s="36"/>
      <c r="H295" s="37"/>
      <c r="I295" s="36"/>
      <c r="J295" s="37"/>
      <c r="K295" s="36"/>
      <c r="L295" s="37"/>
      <c r="M295" s="36"/>
      <c r="N295" s="37"/>
      <c r="O295" s="36"/>
      <c r="P295" s="37"/>
      <c r="Q295" s="36"/>
      <c r="R295" s="36"/>
    </row>
    <row r="296" spans="1:18" x14ac:dyDescent="0.25">
      <c r="A296" s="36"/>
      <c r="C296" s="36"/>
      <c r="D296" s="37"/>
      <c r="E296" s="36"/>
      <c r="F296" s="37"/>
      <c r="G296" s="36"/>
      <c r="H296" s="37"/>
      <c r="I296" s="36"/>
      <c r="J296" s="37"/>
      <c r="K296" s="36"/>
      <c r="L296" s="37"/>
      <c r="M296" s="36"/>
      <c r="N296" s="37"/>
      <c r="O296" s="36"/>
      <c r="P296" s="37"/>
      <c r="Q296" s="36"/>
      <c r="R296" s="36"/>
    </row>
    <row r="297" spans="1:18" x14ac:dyDescent="0.25">
      <c r="A297" s="36"/>
      <c r="C297" s="36"/>
      <c r="D297" s="37"/>
      <c r="E297" s="36"/>
      <c r="F297" s="37"/>
      <c r="G297" s="36"/>
      <c r="H297" s="37"/>
      <c r="I297" s="36"/>
      <c r="J297" s="37"/>
      <c r="K297" s="36"/>
      <c r="L297" s="37"/>
      <c r="M297" s="36"/>
      <c r="N297" s="37"/>
      <c r="O297" s="36"/>
      <c r="P297" s="37"/>
      <c r="Q297" s="36"/>
      <c r="R297" s="36"/>
    </row>
    <row r="298" spans="1:18" x14ac:dyDescent="0.25">
      <c r="A298" s="36"/>
      <c r="C298" s="36"/>
      <c r="D298" s="37"/>
      <c r="E298" s="36"/>
      <c r="F298" s="37"/>
      <c r="G298" s="36"/>
      <c r="H298" s="37"/>
      <c r="I298" s="36"/>
      <c r="J298" s="37"/>
      <c r="K298" s="36"/>
      <c r="L298" s="37"/>
      <c r="M298" s="36"/>
      <c r="N298" s="37"/>
      <c r="O298" s="36"/>
      <c r="P298" s="37"/>
      <c r="Q298" s="36"/>
      <c r="R298" s="36"/>
    </row>
    <row r="299" spans="1:18" x14ac:dyDescent="0.25">
      <c r="A299" s="36"/>
      <c r="C299" s="36"/>
      <c r="D299" s="37"/>
      <c r="E299" s="36"/>
      <c r="F299" s="37"/>
      <c r="G299" s="36"/>
      <c r="H299" s="37"/>
      <c r="I299" s="36"/>
      <c r="J299" s="37"/>
      <c r="K299" s="36"/>
      <c r="L299" s="37"/>
      <c r="M299" s="36"/>
      <c r="N299" s="37"/>
      <c r="O299" s="36"/>
      <c r="P299" s="37"/>
      <c r="Q299" s="36"/>
      <c r="R299" s="36"/>
    </row>
    <row r="300" spans="1:18" x14ac:dyDescent="0.25">
      <c r="A300" s="36"/>
      <c r="C300" s="36"/>
      <c r="D300" s="37"/>
      <c r="E300" s="36"/>
      <c r="F300" s="37"/>
      <c r="G300" s="36"/>
      <c r="H300" s="37"/>
      <c r="I300" s="36"/>
      <c r="J300" s="37"/>
      <c r="K300" s="36"/>
      <c r="L300" s="37"/>
      <c r="M300" s="36"/>
      <c r="N300" s="37"/>
      <c r="O300" s="36"/>
      <c r="P300" s="37"/>
      <c r="Q300" s="36"/>
      <c r="R300" s="36"/>
    </row>
    <row r="301" spans="1:18" x14ac:dyDescent="0.25">
      <c r="A301" s="36"/>
      <c r="C301" s="36"/>
      <c r="D301" s="37"/>
      <c r="E301" s="36"/>
      <c r="F301" s="37"/>
      <c r="G301" s="36"/>
      <c r="H301" s="37"/>
      <c r="I301" s="36"/>
      <c r="J301" s="37"/>
      <c r="K301" s="36"/>
      <c r="L301" s="37"/>
      <c r="M301" s="36"/>
      <c r="N301" s="37"/>
      <c r="O301" s="36"/>
      <c r="P301" s="37"/>
      <c r="Q301" s="36"/>
      <c r="R301" s="36"/>
    </row>
    <row r="302" spans="1:18" x14ac:dyDescent="0.25">
      <c r="A302" s="36"/>
      <c r="C302" s="36"/>
      <c r="D302" s="37"/>
      <c r="E302" s="36"/>
      <c r="F302" s="37"/>
      <c r="G302" s="36"/>
      <c r="H302" s="37"/>
      <c r="I302" s="36"/>
      <c r="J302" s="37"/>
      <c r="K302" s="36"/>
      <c r="L302" s="37"/>
      <c r="M302" s="36"/>
      <c r="N302" s="37"/>
      <c r="O302" s="36"/>
      <c r="P302" s="37"/>
      <c r="Q302" s="36"/>
      <c r="R302" s="36"/>
    </row>
    <row r="303" spans="1:18" x14ac:dyDescent="0.25">
      <c r="A303" s="36"/>
      <c r="C303" s="36"/>
      <c r="D303" s="37"/>
      <c r="E303" s="36"/>
      <c r="F303" s="37"/>
      <c r="G303" s="36"/>
      <c r="H303" s="37"/>
      <c r="I303" s="36"/>
      <c r="J303" s="37"/>
      <c r="K303" s="36"/>
      <c r="L303" s="37"/>
      <c r="M303" s="36"/>
      <c r="N303" s="37"/>
      <c r="O303" s="36"/>
      <c r="P303" s="37"/>
      <c r="Q303" s="36"/>
      <c r="R303" s="36"/>
    </row>
    <row r="304" spans="1:18" x14ac:dyDescent="0.25">
      <c r="A304" s="36"/>
      <c r="C304" s="36"/>
      <c r="D304" s="37"/>
      <c r="E304" s="36"/>
      <c r="F304" s="37"/>
      <c r="G304" s="36"/>
      <c r="H304" s="37"/>
      <c r="I304" s="36"/>
      <c r="J304" s="37"/>
      <c r="K304" s="36"/>
      <c r="L304" s="37"/>
      <c r="M304" s="36"/>
      <c r="N304" s="37"/>
      <c r="O304" s="36"/>
      <c r="P304" s="37"/>
      <c r="Q304" s="36"/>
      <c r="R304" s="36"/>
    </row>
    <row r="305" spans="1:18" x14ac:dyDescent="0.25">
      <c r="A305" s="36"/>
      <c r="C305" s="36"/>
      <c r="D305" s="37"/>
      <c r="E305" s="36"/>
      <c r="F305" s="37"/>
      <c r="G305" s="36"/>
      <c r="H305" s="37"/>
      <c r="I305" s="36"/>
      <c r="J305" s="37"/>
      <c r="K305" s="36"/>
      <c r="L305" s="37"/>
      <c r="M305" s="36"/>
      <c r="N305" s="37"/>
      <c r="O305" s="36"/>
      <c r="P305" s="37"/>
      <c r="Q305" s="36"/>
      <c r="R305" s="36"/>
    </row>
    <row r="306" spans="1:18" x14ac:dyDescent="0.25">
      <c r="A306" s="36"/>
      <c r="C306" s="36"/>
      <c r="D306" s="37"/>
      <c r="E306" s="36"/>
      <c r="F306" s="37"/>
      <c r="G306" s="36"/>
      <c r="H306" s="37"/>
      <c r="I306" s="36"/>
      <c r="J306" s="37"/>
      <c r="K306" s="36"/>
      <c r="L306" s="37"/>
      <c r="M306" s="36"/>
      <c r="N306" s="37"/>
      <c r="O306" s="36"/>
      <c r="P306" s="37"/>
      <c r="Q306" s="36"/>
      <c r="R306" s="36"/>
    </row>
    <row r="307" spans="1:18" x14ac:dyDescent="0.25">
      <c r="A307" s="36"/>
      <c r="C307" s="36"/>
      <c r="D307" s="37"/>
      <c r="E307" s="36"/>
      <c r="F307" s="37"/>
      <c r="G307" s="36"/>
      <c r="H307" s="37"/>
      <c r="I307" s="36"/>
      <c r="J307" s="37"/>
      <c r="K307" s="36"/>
      <c r="L307" s="37"/>
      <c r="M307" s="36"/>
      <c r="N307" s="37"/>
      <c r="O307" s="36"/>
      <c r="P307" s="37"/>
      <c r="Q307" s="36"/>
      <c r="R307" s="36"/>
    </row>
    <row r="308" spans="1:18" x14ac:dyDescent="0.25">
      <c r="A308" s="36"/>
      <c r="C308" s="36"/>
      <c r="D308" s="37"/>
      <c r="E308" s="36"/>
      <c r="F308" s="37"/>
      <c r="G308" s="36"/>
      <c r="H308" s="37"/>
      <c r="I308" s="36"/>
      <c r="J308" s="37"/>
      <c r="K308" s="36"/>
      <c r="L308" s="37"/>
      <c r="M308" s="36"/>
      <c r="N308" s="37"/>
      <c r="O308" s="36"/>
      <c r="P308" s="37"/>
      <c r="Q308" s="36"/>
      <c r="R308" s="36"/>
    </row>
    <row r="309" spans="1:18" x14ac:dyDescent="0.25">
      <c r="A309" s="36"/>
      <c r="C309" s="36"/>
      <c r="D309" s="37"/>
      <c r="E309" s="36"/>
      <c r="F309" s="37"/>
      <c r="G309" s="36"/>
      <c r="H309" s="37"/>
      <c r="I309" s="36"/>
      <c r="J309" s="37"/>
      <c r="K309" s="36"/>
      <c r="L309" s="37"/>
      <c r="M309" s="36"/>
      <c r="N309" s="37"/>
      <c r="O309" s="36"/>
      <c r="P309" s="37"/>
      <c r="Q309" s="36"/>
      <c r="R309" s="36"/>
    </row>
    <row r="310" spans="1:18" x14ac:dyDescent="0.25">
      <c r="A310" s="36"/>
      <c r="C310" s="36"/>
      <c r="D310" s="37"/>
      <c r="E310" s="36"/>
      <c r="F310" s="37"/>
      <c r="G310" s="36"/>
      <c r="H310" s="37"/>
      <c r="I310" s="36"/>
      <c r="J310" s="37"/>
      <c r="K310" s="36"/>
      <c r="L310" s="37"/>
      <c r="M310" s="36"/>
      <c r="N310" s="37"/>
      <c r="O310" s="36"/>
      <c r="P310" s="37"/>
      <c r="Q310" s="36"/>
      <c r="R310" s="36"/>
    </row>
    <row r="311" spans="1:18" x14ac:dyDescent="0.25">
      <c r="A311" s="36"/>
      <c r="C311" s="36"/>
      <c r="D311" s="37"/>
      <c r="E311" s="36"/>
      <c r="F311" s="37"/>
      <c r="G311" s="36"/>
      <c r="H311" s="37"/>
      <c r="I311" s="36"/>
      <c r="J311" s="37"/>
      <c r="K311" s="36"/>
      <c r="L311" s="37"/>
      <c r="M311" s="36"/>
      <c r="N311" s="37"/>
      <c r="O311" s="36"/>
      <c r="P311" s="37"/>
      <c r="Q311" s="36"/>
      <c r="R311" s="36"/>
    </row>
    <row r="312" spans="1:18" x14ac:dyDescent="0.25">
      <c r="A312" s="36"/>
      <c r="C312" s="36"/>
      <c r="D312" s="37"/>
      <c r="E312" s="36"/>
      <c r="F312" s="37"/>
      <c r="G312" s="36"/>
      <c r="H312" s="37"/>
      <c r="I312" s="36"/>
      <c r="J312" s="37"/>
      <c r="K312" s="36"/>
      <c r="L312" s="37"/>
      <c r="M312" s="36"/>
      <c r="N312" s="37"/>
      <c r="O312" s="36"/>
      <c r="P312" s="37"/>
      <c r="Q312" s="36"/>
      <c r="R312" s="36"/>
    </row>
    <row r="313" spans="1:18" x14ac:dyDescent="0.25">
      <c r="A313" s="36"/>
      <c r="C313" s="36"/>
      <c r="D313" s="37"/>
      <c r="E313" s="36"/>
      <c r="F313" s="37"/>
      <c r="G313" s="36"/>
      <c r="H313" s="37"/>
      <c r="I313" s="36"/>
      <c r="J313" s="37"/>
      <c r="K313" s="36"/>
      <c r="L313" s="37"/>
      <c r="M313" s="36"/>
      <c r="N313" s="37"/>
      <c r="O313" s="36"/>
      <c r="P313" s="37"/>
      <c r="Q313" s="36"/>
      <c r="R313" s="36"/>
    </row>
    <row r="314" spans="1:18" x14ac:dyDescent="0.25">
      <c r="A314" s="36"/>
      <c r="C314" s="36"/>
      <c r="D314" s="37"/>
      <c r="E314" s="36"/>
      <c r="F314" s="37"/>
      <c r="G314" s="36"/>
      <c r="H314" s="37"/>
      <c r="I314" s="36"/>
      <c r="J314" s="37"/>
      <c r="K314" s="36"/>
      <c r="L314" s="37"/>
      <c r="M314" s="36"/>
      <c r="N314" s="37"/>
      <c r="O314" s="36"/>
      <c r="P314" s="37"/>
      <c r="Q314" s="36"/>
      <c r="R314" s="36"/>
    </row>
    <row r="315" spans="1:18" x14ac:dyDescent="0.25">
      <c r="A315" s="36"/>
      <c r="C315" s="36"/>
      <c r="D315" s="37"/>
      <c r="E315" s="36"/>
      <c r="F315" s="37"/>
      <c r="G315" s="36"/>
      <c r="H315" s="37"/>
      <c r="I315" s="36"/>
      <c r="J315" s="37"/>
      <c r="K315" s="36"/>
      <c r="L315" s="37"/>
      <c r="M315" s="36"/>
      <c r="N315" s="37"/>
      <c r="O315" s="36"/>
      <c r="P315" s="37"/>
      <c r="Q315" s="36"/>
      <c r="R315" s="36"/>
    </row>
    <row r="316" spans="1:18" x14ac:dyDescent="0.25">
      <c r="A316" s="36"/>
      <c r="C316" s="36"/>
      <c r="D316" s="37"/>
      <c r="E316" s="36"/>
      <c r="F316" s="37"/>
      <c r="G316" s="36"/>
      <c r="H316" s="37"/>
      <c r="I316" s="36"/>
      <c r="J316" s="37"/>
      <c r="K316" s="36"/>
      <c r="L316" s="37"/>
      <c r="M316" s="36"/>
      <c r="N316" s="37"/>
      <c r="O316" s="36"/>
      <c r="P316" s="37"/>
      <c r="Q316" s="36"/>
      <c r="R316" s="36"/>
    </row>
    <row r="317" spans="1:18" x14ac:dyDescent="0.25">
      <c r="A317" s="36"/>
      <c r="C317" s="36"/>
      <c r="D317" s="37"/>
      <c r="E317" s="36"/>
      <c r="F317" s="37"/>
      <c r="G317" s="36"/>
      <c r="H317" s="37"/>
      <c r="I317" s="36"/>
      <c r="J317" s="37"/>
      <c r="K317" s="36"/>
      <c r="L317" s="37"/>
      <c r="M317" s="36"/>
      <c r="N317" s="37"/>
      <c r="O317" s="36"/>
      <c r="P317" s="37"/>
      <c r="Q317" s="36"/>
      <c r="R317" s="36"/>
    </row>
    <row r="318" spans="1:18" x14ac:dyDescent="0.25">
      <c r="A318" s="36"/>
      <c r="C318" s="36"/>
      <c r="D318" s="37"/>
      <c r="E318" s="36"/>
      <c r="F318" s="37"/>
      <c r="G318" s="36"/>
      <c r="H318" s="37"/>
      <c r="I318" s="36"/>
      <c r="J318" s="37"/>
      <c r="K318" s="36"/>
      <c r="L318" s="37"/>
      <c r="M318" s="36"/>
      <c r="N318" s="37"/>
      <c r="O318" s="36"/>
      <c r="P318" s="37"/>
      <c r="Q318" s="36"/>
      <c r="R318" s="36"/>
    </row>
    <row r="319" spans="1:18" x14ac:dyDescent="0.25">
      <c r="A319" s="36"/>
      <c r="C319" s="36"/>
      <c r="D319" s="37"/>
      <c r="E319" s="36"/>
      <c r="F319" s="37"/>
      <c r="G319" s="36"/>
      <c r="H319" s="37"/>
      <c r="I319" s="36"/>
      <c r="J319" s="37"/>
      <c r="K319" s="36"/>
      <c r="L319" s="37"/>
      <c r="M319" s="36"/>
      <c r="N319" s="37"/>
      <c r="O319" s="36"/>
      <c r="P319" s="37"/>
      <c r="Q319" s="36"/>
      <c r="R319" s="36"/>
    </row>
    <row r="320" spans="1:18" x14ac:dyDescent="0.25">
      <c r="A320" s="36"/>
      <c r="C320" s="36"/>
      <c r="D320" s="37"/>
      <c r="E320" s="36"/>
      <c r="F320" s="37"/>
      <c r="G320" s="36"/>
      <c r="H320" s="37"/>
      <c r="I320" s="36"/>
      <c r="J320" s="37"/>
      <c r="K320" s="36"/>
      <c r="L320" s="37"/>
      <c r="M320" s="36"/>
      <c r="N320" s="37"/>
      <c r="O320" s="36"/>
      <c r="P320" s="37"/>
      <c r="Q320" s="36"/>
      <c r="R320" s="36"/>
    </row>
    <row r="321" spans="1:18" x14ac:dyDescent="0.25">
      <c r="A321" s="36"/>
      <c r="C321" s="36"/>
      <c r="D321" s="37"/>
      <c r="E321" s="36"/>
      <c r="F321" s="37"/>
      <c r="G321" s="36"/>
      <c r="H321" s="37"/>
      <c r="I321" s="36"/>
      <c r="J321" s="37"/>
      <c r="K321" s="36"/>
      <c r="L321" s="37"/>
      <c r="M321" s="36"/>
      <c r="N321" s="37"/>
      <c r="O321" s="36"/>
      <c r="P321" s="37"/>
      <c r="Q321" s="36"/>
      <c r="R321" s="36"/>
    </row>
    <row r="322" spans="1:18" x14ac:dyDescent="0.25">
      <c r="A322" s="36"/>
      <c r="C322" s="36"/>
      <c r="D322" s="37"/>
      <c r="E322" s="36"/>
      <c r="F322" s="37"/>
      <c r="G322" s="36"/>
      <c r="H322" s="37"/>
      <c r="I322" s="36"/>
      <c r="J322" s="37"/>
      <c r="K322" s="36"/>
      <c r="L322" s="37"/>
      <c r="M322" s="36"/>
      <c r="N322" s="37"/>
      <c r="O322" s="36"/>
      <c r="P322" s="37"/>
      <c r="Q322" s="36"/>
      <c r="R322" s="36"/>
    </row>
    <row r="323" spans="1:18" x14ac:dyDescent="0.25">
      <c r="A323" s="36"/>
      <c r="C323" s="36"/>
      <c r="D323" s="37"/>
      <c r="E323" s="36"/>
      <c r="F323" s="37"/>
      <c r="G323" s="36"/>
      <c r="H323" s="37"/>
      <c r="I323" s="36"/>
      <c r="J323" s="37"/>
      <c r="K323" s="36"/>
      <c r="L323" s="37"/>
      <c r="M323" s="36"/>
      <c r="N323" s="37"/>
      <c r="O323" s="36"/>
      <c r="P323" s="37"/>
      <c r="Q323" s="36"/>
      <c r="R323" s="36"/>
    </row>
    <row r="324" spans="1:18" x14ac:dyDescent="0.25">
      <c r="A324" s="36"/>
      <c r="C324" s="36"/>
      <c r="D324" s="37"/>
      <c r="E324" s="36"/>
      <c r="F324" s="37"/>
      <c r="G324" s="36"/>
      <c r="H324" s="37"/>
      <c r="I324" s="36"/>
      <c r="J324" s="37"/>
      <c r="K324" s="36"/>
      <c r="L324" s="37"/>
      <c r="M324" s="36"/>
      <c r="N324" s="37"/>
      <c r="O324" s="36"/>
      <c r="P324" s="37"/>
      <c r="Q324" s="36"/>
      <c r="R324" s="36"/>
    </row>
    <row r="325" spans="1:18" x14ac:dyDescent="0.25">
      <c r="A325" s="36"/>
      <c r="C325" s="36"/>
      <c r="D325" s="37"/>
      <c r="E325" s="36"/>
      <c r="F325" s="37"/>
      <c r="G325" s="36"/>
      <c r="H325" s="37"/>
      <c r="I325" s="36"/>
      <c r="J325" s="37"/>
      <c r="K325" s="36"/>
      <c r="L325" s="37"/>
      <c r="M325" s="36"/>
      <c r="N325" s="37"/>
      <c r="O325" s="36"/>
      <c r="P325" s="37"/>
      <c r="Q325" s="36"/>
      <c r="R325" s="36"/>
    </row>
    <row r="326" spans="1:18" x14ac:dyDescent="0.25">
      <c r="A326" s="36"/>
      <c r="C326" s="36"/>
      <c r="D326" s="37"/>
      <c r="E326" s="36"/>
      <c r="F326" s="37"/>
      <c r="G326" s="36"/>
      <c r="H326" s="37"/>
      <c r="I326" s="36"/>
      <c r="J326" s="37"/>
      <c r="K326" s="36"/>
      <c r="L326" s="37"/>
      <c r="M326" s="36"/>
      <c r="N326" s="37"/>
      <c r="O326" s="36"/>
      <c r="P326" s="37"/>
      <c r="Q326" s="36"/>
      <c r="R326" s="36"/>
    </row>
    <row r="327" spans="1:18" x14ac:dyDescent="0.25">
      <c r="A327" s="36"/>
      <c r="C327" s="36"/>
      <c r="D327" s="37"/>
      <c r="E327" s="36"/>
      <c r="F327" s="37"/>
      <c r="G327" s="36"/>
      <c r="H327" s="37"/>
      <c r="I327" s="36"/>
      <c r="J327" s="37"/>
      <c r="K327" s="36"/>
      <c r="L327" s="37"/>
      <c r="M327" s="36"/>
      <c r="N327" s="37"/>
      <c r="O327" s="36"/>
      <c r="P327" s="37"/>
      <c r="Q327" s="36"/>
      <c r="R327" s="36"/>
    </row>
    <row r="328" spans="1:18" x14ac:dyDescent="0.25">
      <c r="A328" s="36"/>
      <c r="C328" s="36"/>
      <c r="D328" s="37"/>
      <c r="E328" s="36"/>
      <c r="F328" s="37"/>
      <c r="G328" s="36"/>
      <c r="H328" s="37"/>
      <c r="I328" s="36"/>
      <c r="J328" s="37"/>
      <c r="K328" s="36"/>
      <c r="L328" s="37"/>
      <c r="M328" s="36"/>
      <c r="N328" s="37"/>
      <c r="O328" s="36"/>
      <c r="P328" s="37"/>
      <c r="Q328" s="36"/>
      <c r="R328" s="36"/>
    </row>
    <row r="329" spans="1:18" x14ac:dyDescent="0.25">
      <c r="A329" s="36"/>
      <c r="C329" s="36"/>
      <c r="D329" s="37"/>
      <c r="E329" s="36"/>
      <c r="F329" s="37"/>
      <c r="G329" s="36"/>
      <c r="H329" s="37"/>
      <c r="I329" s="36"/>
      <c r="J329" s="37"/>
      <c r="K329" s="36"/>
      <c r="L329" s="37"/>
      <c r="M329" s="36"/>
      <c r="N329" s="37"/>
      <c r="O329" s="36"/>
      <c r="P329" s="37"/>
      <c r="Q329" s="36"/>
      <c r="R329" s="36"/>
    </row>
    <row r="330" spans="1:18" x14ac:dyDescent="0.25">
      <c r="A330" s="36"/>
      <c r="C330" s="36"/>
      <c r="D330" s="37"/>
      <c r="E330" s="36"/>
      <c r="F330" s="37"/>
      <c r="G330" s="36"/>
      <c r="H330" s="37"/>
      <c r="I330" s="36"/>
      <c r="J330" s="37"/>
      <c r="K330" s="36"/>
      <c r="L330" s="37"/>
      <c r="M330" s="36"/>
      <c r="N330" s="37"/>
      <c r="O330" s="36"/>
      <c r="P330" s="37"/>
      <c r="Q330" s="36"/>
      <c r="R330" s="36"/>
    </row>
    <row r="331" spans="1:18" x14ac:dyDescent="0.25">
      <c r="A331" s="36"/>
      <c r="C331" s="36"/>
      <c r="D331" s="37"/>
      <c r="E331" s="36"/>
      <c r="F331" s="37"/>
      <c r="G331" s="36"/>
      <c r="H331" s="37"/>
      <c r="I331" s="36"/>
      <c r="J331" s="37"/>
      <c r="K331" s="36"/>
      <c r="L331" s="37"/>
      <c r="M331" s="36"/>
      <c r="N331" s="37"/>
      <c r="O331" s="36"/>
      <c r="P331" s="37"/>
      <c r="Q331" s="36"/>
      <c r="R331" s="36"/>
    </row>
    <row r="332" spans="1:18" x14ac:dyDescent="0.25">
      <c r="A332" s="36"/>
      <c r="C332" s="36"/>
      <c r="D332" s="37"/>
      <c r="E332" s="36"/>
      <c r="F332" s="37"/>
      <c r="G332" s="36"/>
      <c r="H332" s="37"/>
      <c r="I332" s="36"/>
      <c r="J332" s="37"/>
      <c r="K332" s="36"/>
      <c r="L332" s="37"/>
      <c r="M332" s="36"/>
      <c r="N332" s="37"/>
      <c r="O332" s="36"/>
      <c r="P332" s="37"/>
      <c r="Q332" s="36"/>
      <c r="R332" s="36"/>
    </row>
    <row r="333" spans="1:18" x14ac:dyDescent="0.25">
      <c r="A333" s="36"/>
      <c r="C333" s="36"/>
      <c r="D333" s="37"/>
      <c r="E333" s="36"/>
      <c r="F333" s="37"/>
      <c r="G333" s="36"/>
      <c r="H333" s="37"/>
      <c r="I333" s="36"/>
      <c r="J333" s="37"/>
      <c r="K333" s="36"/>
      <c r="L333" s="37"/>
      <c r="M333" s="36"/>
      <c r="N333" s="37"/>
      <c r="O333" s="36"/>
      <c r="P333" s="37"/>
      <c r="Q333" s="36"/>
      <c r="R333" s="36"/>
    </row>
    <row r="334" spans="1:18" x14ac:dyDescent="0.25">
      <c r="A334" s="36"/>
      <c r="C334" s="36"/>
      <c r="D334" s="37"/>
      <c r="E334" s="36"/>
      <c r="F334" s="37"/>
      <c r="G334" s="36"/>
      <c r="H334" s="37"/>
      <c r="I334" s="36"/>
      <c r="J334" s="37"/>
      <c r="K334" s="36"/>
      <c r="L334" s="37"/>
      <c r="M334" s="36"/>
      <c r="N334" s="37"/>
      <c r="O334" s="36"/>
      <c r="P334" s="37"/>
      <c r="Q334" s="36"/>
      <c r="R334" s="36"/>
    </row>
    <row r="335" spans="1:18" x14ac:dyDescent="0.25">
      <c r="A335" s="36"/>
      <c r="C335" s="36"/>
      <c r="D335" s="37"/>
      <c r="E335" s="36"/>
      <c r="F335" s="37"/>
      <c r="G335" s="36"/>
      <c r="H335" s="37"/>
      <c r="I335" s="36"/>
      <c r="J335" s="37"/>
      <c r="K335" s="36"/>
      <c r="L335" s="37"/>
      <c r="M335" s="36"/>
      <c r="N335" s="37"/>
      <c r="O335" s="36"/>
      <c r="P335" s="37"/>
      <c r="Q335" s="36"/>
      <c r="R335" s="36"/>
    </row>
    <row r="336" spans="1:18" x14ac:dyDescent="0.25">
      <c r="A336" s="36"/>
      <c r="C336" s="36"/>
      <c r="D336" s="37"/>
      <c r="E336" s="36"/>
      <c r="F336" s="37"/>
      <c r="G336" s="36"/>
      <c r="H336" s="37"/>
      <c r="I336" s="36"/>
      <c r="J336" s="37"/>
      <c r="K336" s="36"/>
      <c r="L336" s="37"/>
      <c r="M336" s="36"/>
      <c r="N336" s="37"/>
      <c r="O336" s="36"/>
      <c r="P336" s="37"/>
      <c r="Q336" s="36"/>
      <c r="R336" s="36"/>
    </row>
    <row r="337" spans="1:18" x14ac:dyDescent="0.25">
      <c r="A337" s="36"/>
      <c r="C337" s="36"/>
      <c r="D337" s="37"/>
      <c r="E337" s="36"/>
      <c r="F337" s="37"/>
      <c r="G337" s="36"/>
      <c r="H337" s="37"/>
      <c r="I337" s="36"/>
      <c r="J337" s="37"/>
      <c r="K337" s="36"/>
      <c r="L337" s="37"/>
      <c r="M337" s="36"/>
      <c r="N337" s="37"/>
      <c r="O337" s="36"/>
      <c r="P337" s="37"/>
      <c r="Q337" s="36"/>
      <c r="R337" s="36"/>
    </row>
    <row r="338" spans="1:18" x14ac:dyDescent="0.25">
      <c r="A338" s="36"/>
      <c r="C338" s="36"/>
      <c r="D338" s="37"/>
      <c r="E338" s="36"/>
      <c r="F338" s="37"/>
      <c r="G338" s="36"/>
      <c r="H338" s="37"/>
      <c r="I338" s="36"/>
      <c r="J338" s="37"/>
      <c r="K338" s="36"/>
      <c r="L338" s="37"/>
      <c r="M338" s="36"/>
      <c r="N338" s="37"/>
      <c r="O338" s="36"/>
      <c r="P338" s="37"/>
      <c r="Q338" s="36"/>
      <c r="R338" s="36"/>
    </row>
    <row r="339" spans="1:18" x14ac:dyDescent="0.25">
      <c r="A339" s="36"/>
      <c r="C339" s="36"/>
      <c r="D339" s="37"/>
      <c r="E339" s="36"/>
      <c r="F339" s="37"/>
      <c r="G339" s="36"/>
      <c r="H339" s="37"/>
      <c r="I339" s="36"/>
      <c r="J339" s="37"/>
      <c r="K339" s="36"/>
      <c r="L339" s="37"/>
      <c r="M339" s="36"/>
      <c r="N339" s="37"/>
      <c r="O339" s="36"/>
      <c r="P339" s="37"/>
      <c r="Q339" s="36"/>
      <c r="R339" s="36"/>
    </row>
    <row r="340" spans="1:18" x14ac:dyDescent="0.25">
      <c r="A340" s="36"/>
      <c r="C340" s="36"/>
      <c r="D340" s="37"/>
      <c r="E340" s="36"/>
      <c r="F340" s="37"/>
      <c r="G340" s="36"/>
      <c r="H340" s="37"/>
      <c r="I340" s="36"/>
      <c r="J340" s="37"/>
      <c r="K340" s="36"/>
      <c r="L340" s="37"/>
      <c r="M340" s="36"/>
      <c r="N340" s="37"/>
      <c r="O340" s="36"/>
      <c r="P340" s="37"/>
      <c r="Q340" s="36"/>
      <c r="R340" s="36"/>
    </row>
    <row r="341" spans="1:18" x14ac:dyDescent="0.25">
      <c r="A341" s="36"/>
      <c r="C341" s="36"/>
      <c r="D341" s="37"/>
      <c r="E341" s="36"/>
      <c r="F341" s="37"/>
      <c r="G341" s="36"/>
      <c r="H341" s="37"/>
      <c r="I341" s="36"/>
      <c r="J341" s="37"/>
      <c r="K341" s="36"/>
      <c r="L341" s="37"/>
      <c r="M341" s="36"/>
      <c r="N341" s="37"/>
      <c r="O341" s="36"/>
      <c r="P341" s="37"/>
      <c r="Q341" s="36"/>
      <c r="R341" s="36"/>
    </row>
    <row r="342" spans="1:18" x14ac:dyDescent="0.25">
      <c r="A342" s="36"/>
      <c r="C342" s="36"/>
      <c r="D342" s="37"/>
      <c r="E342" s="36"/>
      <c r="F342" s="37"/>
      <c r="G342" s="36"/>
      <c r="H342" s="37"/>
      <c r="I342" s="36"/>
      <c r="J342" s="37"/>
      <c r="K342" s="36"/>
      <c r="L342" s="37"/>
      <c r="M342" s="36"/>
      <c r="N342" s="37"/>
      <c r="O342" s="36"/>
      <c r="P342" s="37"/>
      <c r="Q342" s="36"/>
      <c r="R342" s="36"/>
    </row>
    <row r="343" spans="1:18" x14ac:dyDescent="0.25">
      <c r="A343" s="36"/>
      <c r="C343" s="36"/>
      <c r="D343" s="37"/>
      <c r="E343" s="36"/>
      <c r="F343" s="37"/>
      <c r="G343" s="36"/>
      <c r="H343" s="37"/>
      <c r="I343" s="36"/>
      <c r="J343" s="37"/>
      <c r="K343" s="36"/>
      <c r="L343" s="37"/>
      <c r="M343" s="36"/>
      <c r="N343" s="37"/>
      <c r="O343" s="36"/>
      <c r="P343" s="37"/>
      <c r="Q343" s="36"/>
      <c r="R343" s="36"/>
    </row>
    <row r="344" spans="1:18" x14ac:dyDescent="0.25">
      <c r="A344" s="36"/>
      <c r="C344" s="36"/>
      <c r="D344" s="37"/>
      <c r="E344" s="36"/>
      <c r="F344" s="37"/>
      <c r="G344" s="36"/>
      <c r="H344" s="37"/>
      <c r="I344" s="36"/>
      <c r="J344" s="37"/>
      <c r="K344" s="36"/>
      <c r="L344" s="37"/>
      <c r="M344" s="36"/>
      <c r="N344" s="37"/>
      <c r="O344" s="36"/>
      <c r="P344" s="37"/>
      <c r="Q344" s="36"/>
      <c r="R344" s="36"/>
    </row>
    <row r="345" spans="1:18" x14ac:dyDescent="0.25">
      <c r="A345" s="36"/>
      <c r="C345" s="36"/>
      <c r="D345" s="37"/>
      <c r="E345" s="36"/>
      <c r="F345" s="37"/>
      <c r="G345" s="36"/>
      <c r="H345" s="37"/>
      <c r="I345" s="36"/>
      <c r="J345" s="37"/>
      <c r="K345" s="36"/>
      <c r="L345" s="37"/>
      <c r="M345" s="36"/>
      <c r="N345" s="37"/>
      <c r="O345" s="36"/>
      <c r="P345" s="37"/>
      <c r="Q345" s="36"/>
      <c r="R345" s="36"/>
    </row>
    <row r="346" spans="1:18" x14ac:dyDescent="0.25">
      <c r="A346" s="36"/>
      <c r="C346" s="36"/>
      <c r="D346" s="37"/>
      <c r="E346" s="36"/>
      <c r="F346" s="37"/>
      <c r="G346" s="36"/>
      <c r="H346" s="37"/>
      <c r="I346" s="36"/>
      <c r="J346" s="37"/>
      <c r="K346" s="36"/>
      <c r="L346" s="37"/>
      <c r="M346" s="36"/>
      <c r="N346" s="37"/>
      <c r="O346" s="36"/>
      <c r="P346" s="37"/>
      <c r="Q346" s="36"/>
      <c r="R346" s="36"/>
    </row>
    <row r="347" spans="1:18" x14ac:dyDescent="0.25">
      <c r="A347" s="36"/>
      <c r="C347" s="36"/>
      <c r="D347" s="37"/>
      <c r="E347" s="36"/>
      <c r="F347" s="37"/>
      <c r="G347" s="36"/>
      <c r="H347" s="37"/>
      <c r="I347" s="36"/>
      <c r="J347" s="37"/>
      <c r="K347" s="36"/>
      <c r="L347" s="37"/>
      <c r="M347" s="36"/>
      <c r="N347" s="37"/>
      <c r="O347" s="36"/>
      <c r="P347" s="37"/>
      <c r="Q347" s="36"/>
      <c r="R347" s="36"/>
    </row>
    <row r="348" spans="1:18" x14ac:dyDescent="0.25">
      <c r="A348" s="36"/>
      <c r="C348" s="36"/>
      <c r="D348" s="37"/>
      <c r="E348" s="36"/>
      <c r="F348" s="37"/>
      <c r="G348" s="36"/>
      <c r="H348" s="37"/>
      <c r="I348" s="36"/>
      <c r="J348" s="37"/>
      <c r="K348" s="36"/>
      <c r="L348" s="37"/>
      <c r="M348" s="36"/>
      <c r="N348" s="37"/>
      <c r="O348" s="36"/>
      <c r="P348" s="37"/>
      <c r="Q348" s="36"/>
      <c r="R348" s="36"/>
    </row>
    <row r="349" spans="1:18" x14ac:dyDescent="0.25">
      <c r="A349" s="36"/>
      <c r="C349" s="36"/>
      <c r="D349" s="37"/>
      <c r="E349" s="36"/>
      <c r="F349" s="37"/>
      <c r="G349" s="36"/>
      <c r="H349" s="37"/>
      <c r="I349" s="36"/>
      <c r="J349" s="37"/>
      <c r="K349" s="36"/>
      <c r="L349" s="37"/>
      <c r="M349" s="36"/>
      <c r="N349" s="37"/>
      <c r="O349" s="36"/>
      <c r="P349" s="37"/>
      <c r="Q349" s="36"/>
      <c r="R349" s="36"/>
    </row>
    <row r="350" spans="1:18" x14ac:dyDescent="0.25">
      <c r="A350" s="36"/>
      <c r="C350" s="36"/>
      <c r="D350" s="37"/>
      <c r="E350" s="36"/>
      <c r="F350" s="37"/>
      <c r="G350" s="36"/>
      <c r="H350" s="37"/>
      <c r="I350" s="36"/>
      <c r="J350" s="37"/>
      <c r="K350" s="36"/>
      <c r="L350" s="37"/>
      <c r="M350" s="36"/>
      <c r="N350" s="37"/>
      <c r="O350" s="36"/>
      <c r="P350" s="37"/>
      <c r="Q350" s="36"/>
      <c r="R350" s="36"/>
    </row>
    <row r="351" spans="1:18" x14ac:dyDescent="0.25">
      <c r="A351" s="36"/>
      <c r="C351" s="36"/>
      <c r="D351" s="37"/>
      <c r="E351" s="36"/>
      <c r="F351" s="37"/>
      <c r="G351" s="36"/>
      <c r="H351" s="37"/>
      <c r="I351" s="36"/>
      <c r="J351" s="37"/>
      <c r="K351" s="36"/>
      <c r="L351" s="37"/>
      <c r="M351" s="36"/>
      <c r="N351" s="37"/>
      <c r="O351" s="36"/>
      <c r="P351" s="37"/>
      <c r="Q351" s="36"/>
      <c r="R351" s="36"/>
    </row>
    <row r="352" spans="1:18" x14ac:dyDescent="0.25">
      <c r="A352" s="36"/>
      <c r="C352" s="36"/>
      <c r="D352" s="37"/>
      <c r="E352" s="36"/>
      <c r="F352" s="37"/>
      <c r="G352" s="36"/>
      <c r="H352" s="37"/>
      <c r="I352" s="36"/>
      <c r="J352" s="37"/>
      <c r="K352" s="36"/>
      <c r="L352" s="37"/>
      <c r="M352" s="36"/>
      <c r="N352" s="37"/>
      <c r="O352" s="36"/>
      <c r="P352" s="37"/>
      <c r="Q352" s="36"/>
      <c r="R352" s="36"/>
    </row>
    <row r="353" spans="1:18" x14ac:dyDescent="0.25">
      <c r="A353" s="36"/>
      <c r="C353" s="36"/>
      <c r="D353" s="37"/>
      <c r="E353" s="36"/>
      <c r="F353" s="37"/>
      <c r="G353" s="36"/>
      <c r="H353" s="37"/>
      <c r="I353" s="36"/>
      <c r="J353" s="37"/>
      <c r="K353" s="36"/>
      <c r="L353" s="37"/>
      <c r="M353" s="36"/>
      <c r="N353" s="37"/>
      <c r="O353" s="36"/>
      <c r="P353" s="37"/>
      <c r="Q353" s="36"/>
      <c r="R353" s="36"/>
    </row>
    <row r="354" spans="1:18" x14ac:dyDescent="0.25">
      <c r="A354" s="36"/>
      <c r="C354" s="36"/>
      <c r="D354" s="37"/>
      <c r="E354" s="36"/>
      <c r="F354" s="37"/>
      <c r="G354" s="36"/>
      <c r="H354" s="37"/>
      <c r="I354" s="36"/>
      <c r="J354" s="37"/>
      <c r="K354" s="36"/>
      <c r="L354" s="37"/>
      <c r="M354" s="36"/>
      <c r="N354" s="37"/>
      <c r="O354" s="36"/>
      <c r="P354" s="37"/>
      <c r="Q354" s="36"/>
      <c r="R354" s="36"/>
    </row>
    <row r="355" spans="1:18" x14ac:dyDescent="0.25">
      <c r="A355" s="36"/>
      <c r="C355" s="36"/>
      <c r="D355" s="37"/>
      <c r="E355" s="36"/>
      <c r="F355" s="37"/>
      <c r="G355" s="36"/>
      <c r="H355" s="37"/>
      <c r="I355" s="36"/>
      <c r="J355" s="37"/>
      <c r="K355" s="36"/>
      <c r="L355" s="37"/>
      <c r="M355" s="36"/>
      <c r="N355" s="37"/>
      <c r="O355" s="36"/>
      <c r="P355" s="37"/>
      <c r="Q355" s="36"/>
      <c r="R355" s="36"/>
    </row>
    <row r="356" spans="1:18" x14ac:dyDescent="0.25">
      <c r="A356" s="36"/>
      <c r="C356" s="36"/>
      <c r="D356" s="37"/>
      <c r="E356" s="36"/>
      <c r="F356" s="37"/>
      <c r="G356" s="36"/>
      <c r="H356" s="37"/>
      <c r="I356" s="36"/>
      <c r="J356" s="37"/>
      <c r="K356" s="36"/>
      <c r="L356" s="37"/>
      <c r="M356" s="36"/>
      <c r="N356" s="37"/>
      <c r="O356" s="36"/>
      <c r="P356" s="37"/>
      <c r="Q356" s="36"/>
      <c r="R356" s="36"/>
    </row>
    <row r="357" spans="1:18" x14ac:dyDescent="0.25">
      <c r="A357" s="36"/>
      <c r="C357" s="36"/>
      <c r="D357" s="37"/>
      <c r="E357" s="36"/>
      <c r="F357" s="37"/>
      <c r="G357" s="36"/>
      <c r="H357" s="37"/>
      <c r="I357" s="36"/>
      <c r="J357" s="37"/>
      <c r="K357" s="36"/>
      <c r="L357" s="37"/>
      <c r="M357" s="36"/>
      <c r="N357" s="37"/>
      <c r="O357" s="36"/>
      <c r="P357" s="37"/>
      <c r="Q357" s="36"/>
      <c r="R357" s="36"/>
    </row>
    <row r="358" spans="1:18" x14ac:dyDescent="0.25">
      <c r="A358" s="36"/>
      <c r="C358" s="36"/>
      <c r="D358" s="37"/>
      <c r="E358" s="36"/>
      <c r="F358" s="37"/>
      <c r="G358" s="36"/>
      <c r="H358" s="37"/>
      <c r="I358" s="36"/>
      <c r="J358" s="37"/>
      <c r="K358" s="36"/>
      <c r="L358" s="37"/>
      <c r="M358" s="36"/>
      <c r="N358" s="37"/>
      <c r="O358" s="36"/>
      <c r="P358" s="37"/>
      <c r="Q358" s="36"/>
      <c r="R358" s="36"/>
    </row>
    <row r="359" spans="1:18" x14ac:dyDescent="0.25">
      <c r="A359" s="36"/>
      <c r="C359" s="36"/>
      <c r="D359" s="37"/>
      <c r="E359" s="36"/>
      <c r="F359" s="37"/>
      <c r="G359" s="36"/>
      <c r="H359" s="37"/>
      <c r="I359" s="36"/>
      <c r="J359" s="37"/>
      <c r="K359" s="36"/>
      <c r="L359" s="37"/>
      <c r="M359" s="36"/>
      <c r="N359" s="37"/>
      <c r="O359" s="36"/>
      <c r="P359" s="37"/>
      <c r="Q359" s="36"/>
      <c r="R359" s="36"/>
    </row>
    <row r="360" spans="1:18" x14ac:dyDescent="0.25">
      <c r="A360" s="36"/>
      <c r="C360" s="36"/>
      <c r="D360" s="37"/>
      <c r="E360" s="36"/>
      <c r="F360" s="37"/>
      <c r="G360" s="36"/>
      <c r="H360" s="37"/>
      <c r="I360" s="36"/>
      <c r="J360" s="37"/>
      <c r="K360" s="36"/>
      <c r="L360" s="37"/>
      <c r="M360" s="36"/>
      <c r="N360" s="37"/>
      <c r="O360" s="36"/>
      <c r="P360" s="37"/>
      <c r="Q360" s="36"/>
      <c r="R360" s="36"/>
    </row>
    <row r="361" spans="1:18" x14ac:dyDescent="0.25">
      <c r="A361" s="36"/>
      <c r="C361" s="36"/>
      <c r="D361" s="37"/>
      <c r="E361" s="36"/>
      <c r="F361" s="37"/>
      <c r="G361" s="36"/>
      <c r="H361" s="37"/>
      <c r="I361" s="36"/>
      <c r="J361" s="37"/>
      <c r="K361" s="36"/>
      <c r="L361" s="37"/>
      <c r="M361" s="36"/>
      <c r="N361" s="37"/>
      <c r="O361" s="36"/>
      <c r="P361" s="37"/>
      <c r="Q361" s="36"/>
      <c r="R361" s="36"/>
    </row>
    <row r="362" spans="1:18" x14ac:dyDescent="0.25">
      <c r="A362" s="36"/>
      <c r="C362" s="36"/>
      <c r="D362" s="37"/>
      <c r="E362" s="36"/>
      <c r="F362" s="37"/>
      <c r="G362" s="36"/>
      <c r="H362" s="37"/>
      <c r="I362" s="36"/>
      <c r="J362" s="37"/>
      <c r="K362" s="36"/>
      <c r="L362" s="37"/>
      <c r="M362" s="36"/>
      <c r="N362" s="37"/>
      <c r="O362" s="36"/>
      <c r="P362" s="37"/>
      <c r="Q362" s="36"/>
      <c r="R362" s="36"/>
    </row>
    <row r="363" spans="1:18" x14ac:dyDescent="0.25">
      <c r="A363" s="36"/>
      <c r="C363" s="36"/>
      <c r="D363" s="37"/>
      <c r="E363" s="36"/>
      <c r="F363" s="37"/>
      <c r="G363" s="36"/>
      <c r="H363" s="37"/>
      <c r="I363" s="36"/>
      <c r="J363" s="37"/>
      <c r="K363" s="36"/>
      <c r="L363" s="37"/>
      <c r="M363" s="36"/>
      <c r="N363" s="37"/>
      <c r="O363" s="36"/>
      <c r="P363" s="37"/>
      <c r="Q363" s="36"/>
      <c r="R363" s="36"/>
    </row>
    <row r="364" spans="1:18" x14ac:dyDescent="0.25">
      <c r="A364" s="36"/>
      <c r="C364" s="36"/>
      <c r="D364" s="37"/>
      <c r="E364" s="36"/>
      <c r="F364" s="37"/>
      <c r="G364" s="36"/>
      <c r="H364" s="37"/>
      <c r="I364" s="36"/>
      <c r="J364" s="37"/>
      <c r="K364" s="36"/>
      <c r="L364" s="37"/>
      <c r="M364" s="36"/>
      <c r="N364" s="37"/>
      <c r="O364" s="36"/>
      <c r="P364" s="37"/>
      <c r="Q364" s="36"/>
      <c r="R364" s="36"/>
    </row>
    <row r="365" spans="1:18" x14ac:dyDescent="0.25">
      <c r="A365" s="36"/>
      <c r="C365" s="36"/>
      <c r="D365" s="37"/>
      <c r="E365" s="36"/>
      <c r="F365" s="37"/>
      <c r="G365" s="36"/>
      <c r="H365" s="37"/>
      <c r="I365" s="36"/>
      <c r="J365" s="37"/>
      <c r="K365" s="36"/>
      <c r="L365" s="37"/>
      <c r="M365" s="36"/>
      <c r="N365" s="37"/>
      <c r="O365" s="36"/>
      <c r="P365" s="37"/>
      <c r="Q365" s="36"/>
      <c r="R365" s="36"/>
    </row>
    <row r="366" spans="1:18" x14ac:dyDescent="0.25">
      <c r="A366" s="36"/>
      <c r="C366" s="36"/>
      <c r="D366" s="37"/>
      <c r="E366" s="36"/>
      <c r="F366" s="37"/>
      <c r="G366" s="36"/>
      <c r="H366" s="37"/>
      <c r="I366" s="36"/>
      <c r="J366" s="37"/>
      <c r="K366" s="36"/>
      <c r="L366" s="37"/>
      <c r="M366" s="36"/>
      <c r="N366" s="37"/>
      <c r="O366" s="36"/>
      <c r="P366" s="37"/>
      <c r="Q366" s="36"/>
      <c r="R366" s="36"/>
    </row>
    <row r="367" spans="1:18" x14ac:dyDescent="0.25">
      <c r="A367" s="36"/>
      <c r="C367" s="36"/>
      <c r="D367" s="37"/>
      <c r="E367" s="36"/>
      <c r="F367" s="37"/>
      <c r="G367" s="36"/>
      <c r="H367" s="37"/>
      <c r="I367" s="36"/>
      <c r="J367" s="37"/>
      <c r="K367" s="36"/>
      <c r="L367" s="37"/>
      <c r="M367" s="36"/>
      <c r="N367" s="37"/>
      <c r="O367" s="36"/>
      <c r="P367" s="37"/>
      <c r="Q367" s="36"/>
      <c r="R367" s="36"/>
    </row>
    <row r="368" spans="1:18" x14ac:dyDescent="0.25">
      <c r="A368" s="36"/>
      <c r="C368" s="36"/>
      <c r="D368" s="37"/>
      <c r="E368" s="36"/>
      <c r="F368" s="37"/>
      <c r="G368" s="36"/>
      <c r="H368" s="37"/>
      <c r="I368" s="36"/>
      <c r="J368" s="37"/>
      <c r="K368" s="36"/>
      <c r="L368" s="37"/>
      <c r="M368" s="36"/>
      <c r="N368" s="37"/>
      <c r="O368" s="36"/>
      <c r="P368" s="37"/>
      <c r="Q368" s="36"/>
      <c r="R368" s="36"/>
    </row>
    <row r="369" spans="1:18" x14ac:dyDescent="0.25">
      <c r="A369" s="36"/>
      <c r="C369" s="36"/>
      <c r="D369" s="37"/>
      <c r="E369" s="36"/>
      <c r="F369" s="37"/>
      <c r="G369" s="36"/>
      <c r="H369" s="37"/>
      <c r="I369" s="36"/>
      <c r="J369" s="37"/>
      <c r="K369" s="36"/>
      <c r="L369" s="37"/>
      <c r="M369" s="36"/>
      <c r="N369" s="37"/>
      <c r="O369" s="36"/>
      <c r="P369" s="37"/>
      <c r="Q369" s="36"/>
      <c r="R369" s="36"/>
    </row>
    <row r="370" spans="1:18" x14ac:dyDescent="0.25">
      <c r="A370" s="36"/>
      <c r="C370" s="36"/>
      <c r="D370" s="37"/>
      <c r="E370" s="36"/>
      <c r="F370" s="37"/>
      <c r="G370" s="36"/>
      <c r="H370" s="37"/>
      <c r="I370" s="36"/>
      <c r="J370" s="37"/>
      <c r="K370" s="36"/>
      <c r="L370" s="37"/>
      <c r="M370" s="36"/>
      <c r="N370" s="37"/>
      <c r="O370" s="36"/>
      <c r="P370" s="37"/>
      <c r="Q370" s="36"/>
      <c r="R370" s="36"/>
    </row>
    <row r="371" spans="1:18" x14ac:dyDescent="0.25">
      <c r="A371" s="36"/>
      <c r="C371" s="36"/>
      <c r="D371" s="37"/>
      <c r="E371" s="36"/>
      <c r="F371" s="37"/>
      <c r="G371" s="36"/>
      <c r="H371" s="37"/>
      <c r="I371" s="36"/>
      <c r="J371" s="37"/>
      <c r="K371" s="36"/>
      <c r="L371" s="37"/>
      <c r="M371" s="36"/>
      <c r="N371" s="37"/>
      <c r="O371" s="36"/>
      <c r="P371" s="37"/>
      <c r="Q371" s="36"/>
      <c r="R371" s="36"/>
    </row>
    <row r="372" spans="1:18" x14ac:dyDescent="0.25">
      <c r="A372" s="36"/>
      <c r="C372" s="36"/>
      <c r="D372" s="37"/>
      <c r="E372" s="36"/>
      <c r="F372" s="37"/>
      <c r="G372" s="36"/>
      <c r="H372" s="37"/>
      <c r="I372" s="36"/>
      <c r="J372" s="37"/>
      <c r="K372" s="36"/>
      <c r="L372" s="37"/>
      <c r="M372" s="36"/>
      <c r="N372" s="37"/>
      <c r="O372" s="36"/>
      <c r="P372" s="37"/>
      <c r="Q372" s="36"/>
      <c r="R372" s="36"/>
    </row>
    <row r="373" spans="1:18" x14ac:dyDescent="0.25">
      <c r="A373" s="36"/>
      <c r="C373" s="36"/>
      <c r="D373" s="37"/>
      <c r="E373" s="36"/>
      <c r="F373" s="37"/>
      <c r="G373" s="36"/>
      <c r="H373" s="37"/>
      <c r="I373" s="36"/>
      <c r="J373" s="37"/>
      <c r="K373" s="36"/>
      <c r="L373" s="37"/>
      <c r="M373" s="36"/>
      <c r="N373" s="37"/>
      <c r="O373" s="36"/>
      <c r="P373" s="37"/>
      <c r="Q373" s="36"/>
      <c r="R373" s="36"/>
    </row>
    <row r="374" spans="1:18" x14ac:dyDescent="0.25">
      <c r="A374" s="36"/>
      <c r="C374" s="36"/>
      <c r="D374" s="37"/>
      <c r="E374" s="36"/>
      <c r="F374" s="37"/>
      <c r="G374" s="36"/>
      <c r="H374" s="37"/>
      <c r="I374" s="36"/>
      <c r="J374" s="37"/>
      <c r="K374" s="36"/>
      <c r="L374" s="37"/>
      <c r="M374" s="36"/>
      <c r="N374" s="37"/>
      <c r="O374" s="36"/>
      <c r="P374" s="37"/>
      <c r="Q374" s="36"/>
      <c r="R374" s="36"/>
    </row>
    <row r="375" spans="1:18" x14ac:dyDescent="0.25">
      <c r="A375" s="36"/>
      <c r="C375" s="36"/>
      <c r="D375" s="37"/>
      <c r="E375" s="36"/>
      <c r="F375" s="37"/>
      <c r="G375" s="36"/>
      <c r="H375" s="37"/>
      <c r="I375" s="36"/>
      <c r="J375" s="37"/>
      <c r="K375" s="36"/>
      <c r="L375" s="37"/>
      <c r="M375" s="36"/>
      <c r="N375" s="37"/>
      <c r="O375" s="36"/>
      <c r="P375" s="37"/>
      <c r="Q375" s="36"/>
      <c r="R375" s="36"/>
    </row>
    <row r="376" spans="1:18" x14ac:dyDescent="0.25">
      <c r="A376" s="36"/>
      <c r="C376" s="36"/>
      <c r="D376" s="37"/>
      <c r="E376" s="36"/>
      <c r="F376" s="37"/>
      <c r="G376" s="36"/>
      <c r="H376" s="37"/>
      <c r="I376" s="36"/>
      <c r="J376" s="37"/>
      <c r="K376" s="36"/>
      <c r="L376" s="37"/>
      <c r="M376" s="36"/>
      <c r="N376" s="37"/>
      <c r="O376" s="36"/>
      <c r="P376" s="37"/>
      <c r="Q376" s="36"/>
      <c r="R376" s="36"/>
    </row>
    <row r="377" spans="1:18" x14ac:dyDescent="0.25">
      <c r="A377" s="36"/>
      <c r="C377" s="36"/>
      <c r="D377" s="37"/>
      <c r="E377" s="36"/>
      <c r="F377" s="37"/>
      <c r="G377" s="36"/>
      <c r="H377" s="37"/>
      <c r="I377" s="36"/>
      <c r="J377" s="37"/>
      <c r="K377" s="36"/>
      <c r="L377" s="37"/>
      <c r="M377" s="36"/>
      <c r="N377" s="37"/>
      <c r="O377" s="36"/>
      <c r="P377" s="37"/>
      <c r="Q377" s="36"/>
      <c r="R377" s="36"/>
    </row>
    <row r="378" spans="1:18" x14ac:dyDescent="0.25">
      <c r="A378" s="36"/>
      <c r="C378" s="36"/>
      <c r="D378" s="37"/>
      <c r="E378" s="36"/>
      <c r="F378" s="37"/>
      <c r="G378" s="36"/>
      <c r="H378" s="37"/>
      <c r="I378" s="36"/>
      <c r="J378" s="37"/>
      <c r="K378" s="36"/>
      <c r="L378" s="37"/>
      <c r="M378" s="36"/>
      <c r="N378" s="37"/>
      <c r="O378" s="36"/>
      <c r="P378" s="37"/>
      <c r="Q378" s="36"/>
      <c r="R378" s="36"/>
    </row>
    <row r="379" spans="1:18" x14ac:dyDescent="0.25">
      <c r="A379" s="36"/>
      <c r="C379" s="36"/>
      <c r="D379" s="37"/>
      <c r="E379" s="36"/>
      <c r="F379" s="37"/>
      <c r="G379" s="36"/>
      <c r="H379" s="37"/>
      <c r="I379" s="36"/>
      <c r="J379" s="37"/>
      <c r="K379" s="36"/>
      <c r="L379" s="37"/>
      <c r="M379" s="36"/>
      <c r="N379" s="37"/>
      <c r="O379" s="36"/>
      <c r="P379" s="37"/>
      <c r="Q379" s="36"/>
      <c r="R379" s="36"/>
    </row>
    <row r="380" spans="1:18" x14ac:dyDescent="0.25">
      <c r="A380" s="36"/>
      <c r="C380" s="36"/>
      <c r="D380" s="37"/>
      <c r="E380" s="36"/>
      <c r="F380" s="37"/>
      <c r="G380" s="36"/>
      <c r="H380" s="37"/>
      <c r="I380" s="36"/>
      <c r="J380" s="37"/>
      <c r="K380" s="36"/>
      <c r="L380" s="37"/>
      <c r="M380" s="36"/>
      <c r="N380" s="37"/>
      <c r="O380" s="36"/>
      <c r="P380" s="37"/>
      <c r="Q380" s="36"/>
      <c r="R380" s="36"/>
    </row>
    <row r="381" spans="1:18" x14ac:dyDescent="0.25">
      <c r="A381" s="36"/>
      <c r="C381" s="36"/>
      <c r="D381" s="37"/>
      <c r="E381" s="36"/>
      <c r="F381" s="37"/>
      <c r="G381" s="36"/>
      <c r="H381" s="37"/>
      <c r="I381" s="36"/>
      <c r="J381" s="37"/>
      <c r="K381" s="36"/>
      <c r="L381" s="37"/>
      <c r="M381" s="36"/>
      <c r="N381" s="37"/>
      <c r="O381" s="36"/>
      <c r="P381" s="37"/>
      <c r="Q381" s="36"/>
      <c r="R381" s="36"/>
    </row>
    <row r="382" spans="1:18" x14ac:dyDescent="0.25">
      <c r="A382" s="36"/>
      <c r="C382" s="36"/>
      <c r="D382" s="37"/>
      <c r="E382" s="36"/>
      <c r="F382" s="37"/>
      <c r="G382" s="36"/>
      <c r="H382" s="37"/>
      <c r="I382" s="36"/>
      <c r="J382" s="37"/>
      <c r="K382" s="36"/>
      <c r="L382" s="37"/>
      <c r="M382" s="36"/>
      <c r="N382" s="37"/>
      <c r="O382" s="36"/>
      <c r="P382" s="37"/>
      <c r="Q382" s="36"/>
      <c r="R382" s="36"/>
    </row>
    <row r="383" spans="1:18" x14ac:dyDescent="0.25">
      <c r="A383" s="36"/>
      <c r="C383" s="36"/>
      <c r="D383" s="37"/>
      <c r="E383" s="36"/>
      <c r="F383" s="37"/>
      <c r="G383" s="36"/>
      <c r="H383" s="37"/>
      <c r="I383" s="36"/>
      <c r="J383" s="37"/>
      <c r="K383" s="36"/>
      <c r="L383" s="37"/>
      <c r="M383" s="36"/>
      <c r="N383" s="37"/>
      <c r="O383" s="36"/>
      <c r="P383" s="37"/>
      <c r="Q383" s="36"/>
      <c r="R383" s="36"/>
    </row>
    <row r="384" spans="1:18" x14ac:dyDescent="0.25">
      <c r="A384" s="36"/>
      <c r="C384" s="36"/>
      <c r="D384" s="37"/>
      <c r="E384" s="36"/>
      <c r="F384" s="37"/>
      <c r="G384" s="36"/>
      <c r="H384" s="37"/>
      <c r="I384" s="36"/>
      <c r="J384" s="37"/>
      <c r="K384" s="36"/>
      <c r="L384" s="37"/>
      <c r="M384" s="36"/>
      <c r="N384" s="37"/>
      <c r="O384" s="36"/>
      <c r="P384" s="37"/>
      <c r="Q384" s="36"/>
      <c r="R384" s="36"/>
    </row>
    <row r="385" spans="1:18" x14ac:dyDescent="0.25">
      <c r="A385" s="36"/>
      <c r="C385" s="36"/>
      <c r="D385" s="37"/>
      <c r="E385" s="36"/>
      <c r="F385" s="37"/>
      <c r="G385" s="36"/>
      <c r="H385" s="37"/>
      <c r="I385" s="36"/>
      <c r="J385" s="37"/>
      <c r="K385" s="36"/>
      <c r="L385" s="37"/>
      <c r="M385" s="36"/>
      <c r="N385" s="37"/>
      <c r="O385" s="36"/>
      <c r="P385" s="37"/>
      <c r="Q385" s="36"/>
      <c r="R385" s="36"/>
    </row>
    <row r="386" spans="1:18" x14ac:dyDescent="0.25">
      <c r="A386" s="36"/>
      <c r="C386" s="36"/>
      <c r="D386" s="37"/>
      <c r="E386" s="36"/>
      <c r="F386" s="37"/>
      <c r="G386" s="36"/>
      <c r="H386" s="37"/>
      <c r="I386" s="36"/>
      <c r="J386" s="37"/>
      <c r="K386" s="36"/>
      <c r="L386" s="37"/>
      <c r="M386" s="36"/>
      <c r="N386" s="37"/>
      <c r="O386" s="36"/>
      <c r="P386" s="37"/>
      <c r="Q386" s="36"/>
      <c r="R386" s="36"/>
    </row>
    <row r="387" spans="1:18" x14ac:dyDescent="0.25">
      <c r="A387" s="36"/>
      <c r="C387" s="36"/>
      <c r="D387" s="37"/>
      <c r="E387" s="36"/>
      <c r="F387" s="37"/>
      <c r="G387" s="36"/>
      <c r="H387" s="37"/>
      <c r="I387" s="36"/>
      <c r="J387" s="37"/>
      <c r="K387" s="36"/>
      <c r="L387" s="37"/>
      <c r="M387" s="36"/>
      <c r="N387" s="37"/>
      <c r="O387" s="36"/>
      <c r="P387" s="37"/>
      <c r="Q387" s="36"/>
      <c r="R387" s="36"/>
    </row>
    <row r="388" spans="1:18" x14ac:dyDescent="0.25">
      <c r="A388" s="36"/>
      <c r="C388" s="36"/>
      <c r="D388" s="37"/>
      <c r="E388" s="36"/>
      <c r="F388" s="37"/>
      <c r="G388" s="36"/>
      <c r="H388" s="37"/>
      <c r="I388" s="36"/>
      <c r="J388" s="37"/>
      <c r="K388" s="36"/>
      <c r="L388" s="37"/>
      <c r="M388" s="36"/>
      <c r="N388" s="37"/>
      <c r="O388" s="36"/>
      <c r="P388" s="37"/>
      <c r="Q388" s="36"/>
      <c r="R388" s="36"/>
    </row>
    <row r="389" spans="1:18" x14ac:dyDescent="0.25">
      <c r="A389" s="36"/>
      <c r="C389" s="36"/>
      <c r="D389" s="37"/>
      <c r="E389" s="36"/>
      <c r="F389" s="37"/>
      <c r="G389" s="36"/>
      <c r="H389" s="37"/>
      <c r="I389" s="36"/>
      <c r="J389" s="37"/>
      <c r="K389" s="36"/>
      <c r="L389" s="37"/>
      <c r="M389" s="36"/>
      <c r="N389" s="37"/>
      <c r="O389" s="36"/>
      <c r="P389" s="37"/>
      <c r="Q389" s="36"/>
      <c r="R389" s="36"/>
    </row>
    <row r="390" spans="1:18" x14ac:dyDescent="0.25">
      <c r="A390" s="36"/>
      <c r="C390" s="36"/>
      <c r="D390" s="37"/>
      <c r="E390" s="36"/>
      <c r="F390" s="37"/>
      <c r="G390" s="36"/>
      <c r="H390" s="37"/>
      <c r="I390" s="36"/>
      <c r="J390" s="37"/>
      <c r="K390" s="36"/>
      <c r="L390" s="37"/>
      <c r="M390" s="36"/>
      <c r="N390" s="37"/>
      <c r="O390" s="36"/>
      <c r="P390" s="37"/>
      <c r="Q390" s="36"/>
      <c r="R390" s="36"/>
    </row>
    <row r="391" spans="1:18" x14ac:dyDescent="0.25">
      <c r="A391" s="36"/>
      <c r="C391" s="36"/>
      <c r="D391" s="37"/>
      <c r="E391" s="36"/>
      <c r="F391" s="37"/>
      <c r="G391" s="36"/>
      <c r="H391" s="37"/>
      <c r="I391" s="36"/>
      <c r="J391" s="37"/>
      <c r="K391" s="36"/>
      <c r="L391" s="37"/>
      <c r="M391" s="36"/>
      <c r="N391" s="37"/>
      <c r="O391" s="36"/>
      <c r="P391" s="37"/>
      <c r="Q391" s="36"/>
      <c r="R391" s="36"/>
    </row>
    <row r="392" spans="1:18" x14ac:dyDescent="0.25">
      <c r="A392" s="36"/>
      <c r="C392" s="36"/>
      <c r="D392" s="37"/>
      <c r="E392" s="36"/>
      <c r="F392" s="37"/>
      <c r="G392" s="36"/>
      <c r="H392" s="37"/>
      <c r="I392" s="36"/>
      <c r="J392" s="37"/>
      <c r="K392" s="36"/>
      <c r="L392" s="37"/>
      <c r="M392" s="36"/>
      <c r="N392" s="37"/>
      <c r="O392" s="36"/>
      <c r="P392" s="37"/>
      <c r="Q392" s="36"/>
      <c r="R392" s="36"/>
    </row>
    <row r="393" spans="1:18" x14ac:dyDescent="0.25">
      <c r="A393" s="36"/>
      <c r="C393" s="36"/>
      <c r="D393" s="37"/>
      <c r="E393" s="36"/>
      <c r="F393" s="37"/>
      <c r="G393" s="36"/>
      <c r="H393" s="37"/>
      <c r="I393" s="36"/>
      <c r="J393" s="37"/>
      <c r="K393" s="36"/>
      <c r="L393" s="37"/>
      <c r="M393" s="36"/>
      <c r="N393" s="37"/>
      <c r="O393" s="36"/>
      <c r="P393" s="37"/>
      <c r="Q393" s="36"/>
      <c r="R393" s="36"/>
    </row>
    <row r="394" spans="1:18" x14ac:dyDescent="0.25">
      <c r="A394" s="36"/>
      <c r="C394" s="36"/>
      <c r="D394" s="37"/>
      <c r="E394" s="36"/>
      <c r="F394" s="37"/>
      <c r="G394" s="36"/>
      <c r="H394" s="37"/>
      <c r="I394" s="36"/>
      <c r="J394" s="37"/>
      <c r="K394" s="36"/>
      <c r="L394" s="37"/>
      <c r="M394" s="36"/>
      <c r="N394" s="37"/>
      <c r="O394" s="36"/>
      <c r="P394" s="37"/>
      <c r="Q394" s="36"/>
      <c r="R394" s="36"/>
    </row>
    <row r="395" spans="1:18" x14ac:dyDescent="0.25">
      <c r="A395" s="36"/>
      <c r="C395" s="36"/>
      <c r="D395" s="37"/>
      <c r="E395" s="36"/>
      <c r="F395" s="37"/>
      <c r="G395" s="36"/>
      <c r="H395" s="37"/>
      <c r="I395" s="36"/>
      <c r="J395" s="37"/>
      <c r="K395" s="36"/>
      <c r="L395" s="37"/>
      <c r="M395" s="36"/>
      <c r="N395" s="37"/>
      <c r="O395" s="36"/>
      <c r="P395" s="37"/>
      <c r="Q395" s="36"/>
      <c r="R395" s="36"/>
    </row>
    <row r="396" spans="1:18" x14ac:dyDescent="0.25">
      <c r="A396" s="36"/>
      <c r="C396" s="36"/>
      <c r="D396" s="37"/>
      <c r="E396" s="36"/>
      <c r="F396" s="37"/>
      <c r="G396" s="36"/>
      <c r="H396" s="37"/>
      <c r="I396" s="36"/>
      <c r="J396" s="37"/>
      <c r="K396" s="36"/>
      <c r="L396" s="37"/>
      <c r="M396" s="36"/>
      <c r="N396" s="37"/>
      <c r="O396" s="36"/>
      <c r="P396" s="37"/>
      <c r="Q396" s="36"/>
      <c r="R396" s="36"/>
    </row>
    <row r="397" spans="1:18" x14ac:dyDescent="0.25">
      <c r="A397" s="36"/>
      <c r="C397" s="36"/>
      <c r="D397" s="37"/>
      <c r="E397" s="36"/>
      <c r="F397" s="37"/>
      <c r="G397" s="36"/>
      <c r="H397" s="37"/>
      <c r="I397" s="36"/>
      <c r="J397" s="37"/>
      <c r="K397" s="36"/>
      <c r="L397" s="37"/>
      <c r="M397" s="36"/>
      <c r="N397" s="37"/>
      <c r="O397" s="36"/>
      <c r="P397" s="37"/>
      <c r="Q397" s="36"/>
      <c r="R397" s="36"/>
    </row>
    <row r="398" spans="1:18" x14ac:dyDescent="0.25">
      <c r="A398" s="36"/>
      <c r="C398" s="36"/>
      <c r="D398" s="37"/>
      <c r="E398" s="36"/>
      <c r="F398" s="37"/>
      <c r="G398" s="36"/>
      <c r="H398" s="37"/>
      <c r="I398" s="36"/>
      <c r="J398" s="37"/>
      <c r="K398" s="36"/>
      <c r="L398" s="37"/>
      <c r="M398" s="36"/>
      <c r="N398" s="37"/>
      <c r="O398" s="36"/>
      <c r="P398" s="37"/>
      <c r="Q398" s="36"/>
      <c r="R398" s="36"/>
    </row>
    <row r="399" spans="1:18" x14ac:dyDescent="0.25">
      <c r="A399" s="36"/>
      <c r="C399" s="36"/>
      <c r="D399" s="37"/>
      <c r="E399" s="36"/>
      <c r="F399" s="37"/>
      <c r="G399" s="36"/>
      <c r="H399" s="37"/>
      <c r="I399" s="36"/>
      <c r="J399" s="37"/>
      <c r="K399" s="36"/>
      <c r="L399" s="37"/>
      <c r="M399" s="36"/>
      <c r="N399" s="37"/>
      <c r="O399" s="36"/>
      <c r="P399" s="37"/>
      <c r="Q399" s="36"/>
      <c r="R399" s="36"/>
    </row>
    <row r="400" spans="1:18" x14ac:dyDescent="0.25">
      <c r="A400" s="36"/>
      <c r="C400" s="36"/>
      <c r="D400" s="37"/>
      <c r="E400" s="36"/>
      <c r="F400" s="37"/>
      <c r="G400" s="36"/>
      <c r="H400" s="37"/>
      <c r="I400" s="36"/>
      <c r="J400" s="37"/>
      <c r="K400" s="36"/>
      <c r="L400" s="37"/>
      <c r="M400" s="36"/>
      <c r="N400" s="37"/>
      <c r="O400" s="36"/>
      <c r="P400" s="37"/>
      <c r="Q400" s="36"/>
      <c r="R400" s="36"/>
    </row>
    <row r="401" spans="1:18" x14ac:dyDescent="0.25">
      <c r="A401" s="36"/>
      <c r="C401" s="36"/>
      <c r="D401" s="37"/>
      <c r="E401" s="36"/>
      <c r="F401" s="37"/>
      <c r="G401" s="36"/>
      <c r="H401" s="37"/>
      <c r="I401" s="36"/>
      <c r="J401" s="37"/>
      <c r="K401" s="36"/>
      <c r="L401" s="37"/>
      <c r="M401" s="36"/>
      <c r="N401" s="37"/>
      <c r="O401" s="36"/>
      <c r="P401" s="37"/>
      <c r="Q401" s="36"/>
      <c r="R401" s="36"/>
    </row>
    <row r="402" spans="1:18" x14ac:dyDescent="0.25">
      <c r="A402" s="36"/>
      <c r="C402" s="36"/>
      <c r="D402" s="37"/>
      <c r="E402" s="36"/>
      <c r="F402" s="37"/>
      <c r="G402" s="36"/>
      <c r="H402" s="37"/>
      <c r="I402" s="36"/>
      <c r="J402" s="37"/>
      <c r="K402" s="36"/>
      <c r="L402" s="37"/>
      <c r="M402" s="36"/>
      <c r="N402" s="37"/>
      <c r="O402" s="36"/>
      <c r="P402" s="37"/>
      <c r="Q402" s="36"/>
      <c r="R402" s="36"/>
    </row>
    <row r="403" spans="1:18" x14ac:dyDescent="0.25">
      <c r="A403" s="36"/>
      <c r="C403" s="36"/>
      <c r="D403" s="37"/>
      <c r="E403" s="36"/>
      <c r="F403" s="37"/>
      <c r="G403" s="36"/>
      <c r="H403" s="37"/>
      <c r="I403" s="36"/>
      <c r="J403" s="37"/>
      <c r="K403" s="36"/>
      <c r="L403" s="37"/>
      <c r="M403" s="36"/>
      <c r="N403" s="37"/>
      <c r="O403" s="36"/>
      <c r="P403" s="37"/>
      <c r="Q403" s="36"/>
      <c r="R403" s="36"/>
    </row>
    <row r="404" spans="1:18" x14ac:dyDescent="0.25">
      <c r="A404" s="36"/>
      <c r="C404" s="36"/>
      <c r="D404" s="37"/>
      <c r="E404" s="36"/>
      <c r="F404" s="37"/>
      <c r="G404" s="36"/>
      <c r="H404" s="37"/>
      <c r="I404" s="36"/>
      <c r="J404" s="37"/>
      <c r="K404" s="36"/>
      <c r="L404" s="37"/>
      <c r="M404" s="36"/>
      <c r="N404" s="37"/>
      <c r="O404" s="36"/>
      <c r="P404" s="37"/>
      <c r="Q404" s="36"/>
      <c r="R404" s="36"/>
    </row>
    <row r="405" spans="1:18" x14ac:dyDescent="0.25">
      <c r="A405" s="36"/>
      <c r="C405" s="36"/>
      <c r="D405" s="37"/>
      <c r="E405" s="36"/>
      <c r="F405" s="37"/>
      <c r="G405" s="36"/>
      <c r="H405" s="37"/>
      <c r="I405" s="36"/>
      <c r="J405" s="37"/>
      <c r="K405" s="36"/>
      <c r="L405" s="37"/>
      <c r="M405" s="36"/>
      <c r="N405" s="37"/>
      <c r="O405" s="36"/>
      <c r="P405" s="37"/>
      <c r="Q405" s="36"/>
      <c r="R405" s="36"/>
    </row>
    <row r="406" spans="1:18" x14ac:dyDescent="0.25">
      <c r="A406" s="36"/>
      <c r="C406" s="36"/>
      <c r="D406" s="37"/>
      <c r="E406" s="36"/>
      <c r="F406" s="37"/>
      <c r="G406" s="36"/>
      <c r="H406" s="37"/>
      <c r="I406" s="36"/>
      <c r="J406" s="37"/>
      <c r="K406" s="36"/>
      <c r="L406" s="37"/>
      <c r="M406" s="36"/>
      <c r="N406" s="37"/>
      <c r="O406" s="36"/>
      <c r="P406" s="37"/>
      <c r="Q406" s="36"/>
      <c r="R406" s="36"/>
    </row>
    <row r="407" spans="1:18" x14ac:dyDescent="0.25">
      <c r="A407" s="36"/>
      <c r="C407" s="36"/>
      <c r="D407" s="37"/>
      <c r="E407" s="36"/>
      <c r="F407" s="37"/>
      <c r="G407" s="36"/>
      <c r="H407" s="37"/>
      <c r="I407" s="36"/>
      <c r="J407" s="37"/>
      <c r="K407" s="36"/>
      <c r="L407" s="37"/>
      <c r="M407" s="36"/>
      <c r="N407" s="37"/>
      <c r="O407" s="36"/>
      <c r="P407" s="37"/>
      <c r="Q407" s="36"/>
      <c r="R407" s="36"/>
    </row>
    <row r="408" spans="1:18" x14ac:dyDescent="0.25">
      <c r="A408" s="36"/>
      <c r="C408" s="36"/>
      <c r="D408" s="37"/>
      <c r="E408" s="36"/>
      <c r="F408" s="37"/>
      <c r="G408" s="36"/>
      <c r="H408" s="37"/>
      <c r="I408" s="36"/>
      <c r="J408" s="37"/>
      <c r="K408" s="36"/>
      <c r="L408" s="37"/>
      <c r="M408" s="36"/>
      <c r="N408" s="37"/>
      <c r="O408" s="36"/>
      <c r="P408" s="37"/>
      <c r="Q408" s="36"/>
      <c r="R408" s="36"/>
    </row>
    <row r="409" spans="1:18" x14ac:dyDescent="0.25">
      <c r="A409" s="36"/>
      <c r="C409" s="36"/>
      <c r="D409" s="37"/>
      <c r="E409" s="36"/>
      <c r="F409" s="37"/>
      <c r="G409" s="36"/>
      <c r="H409" s="37"/>
      <c r="I409" s="36"/>
      <c r="J409" s="37"/>
      <c r="K409" s="36"/>
      <c r="L409" s="37"/>
      <c r="M409" s="36"/>
      <c r="N409" s="37"/>
      <c r="O409" s="36"/>
      <c r="P409" s="37"/>
      <c r="Q409" s="36"/>
      <c r="R409" s="36"/>
    </row>
    <row r="410" spans="1:18" x14ac:dyDescent="0.25">
      <c r="A410" s="36"/>
      <c r="C410" s="36"/>
      <c r="D410" s="37"/>
      <c r="E410" s="36"/>
      <c r="F410" s="37"/>
      <c r="G410" s="36"/>
      <c r="H410" s="37"/>
      <c r="I410" s="36"/>
      <c r="J410" s="37"/>
      <c r="K410" s="36"/>
      <c r="L410" s="37"/>
      <c r="M410" s="36"/>
      <c r="N410" s="37"/>
      <c r="O410" s="36"/>
      <c r="P410" s="37"/>
      <c r="Q410" s="36"/>
      <c r="R410" s="36"/>
    </row>
    <row r="411" spans="1:18" x14ac:dyDescent="0.25">
      <c r="A411" s="36"/>
      <c r="C411" s="36"/>
      <c r="D411" s="37"/>
      <c r="E411" s="36"/>
      <c r="F411" s="37"/>
      <c r="G411" s="36"/>
      <c r="H411" s="37"/>
      <c r="I411" s="36"/>
      <c r="J411" s="37"/>
      <c r="K411" s="36"/>
      <c r="L411" s="37"/>
      <c r="M411" s="36"/>
      <c r="N411" s="37"/>
      <c r="O411" s="36"/>
      <c r="P411" s="37"/>
      <c r="Q411" s="36"/>
      <c r="R411" s="36"/>
    </row>
    <row r="412" spans="1:18" x14ac:dyDescent="0.25">
      <c r="A412" s="36"/>
      <c r="C412" s="36"/>
      <c r="D412" s="37"/>
      <c r="E412" s="36"/>
      <c r="F412" s="37"/>
      <c r="G412" s="36"/>
      <c r="H412" s="37"/>
      <c r="I412" s="36"/>
      <c r="J412" s="37"/>
      <c r="K412" s="36"/>
      <c r="L412" s="37"/>
      <c r="M412" s="36"/>
      <c r="N412" s="37"/>
      <c r="O412" s="36"/>
      <c r="P412" s="37"/>
      <c r="Q412" s="36"/>
      <c r="R412" s="36"/>
    </row>
    <row r="413" spans="1:18" x14ac:dyDescent="0.25">
      <c r="A413" s="36"/>
      <c r="C413" s="36"/>
      <c r="D413" s="37"/>
      <c r="E413" s="36"/>
      <c r="F413" s="37"/>
      <c r="G413" s="36"/>
      <c r="H413" s="37"/>
      <c r="I413" s="36"/>
      <c r="J413" s="37"/>
      <c r="K413" s="36"/>
      <c r="L413" s="37"/>
      <c r="M413" s="36"/>
      <c r="N413" s="37"/>
      <c r="O413" s="36"/>
      <c r="P413" s="37"/>
      <c r="Q413" s="36"/>
      <c r="R413" s="36"/>
    </row>
    <row r="414" spans="1:18" x14ac:dyDescent="0.25">
      <c r="A414" s="36"/>
      <c r="C414" s="36"/>
      <c r="D414" s="37"/>
      <c r="E414" s="36"/>
      <c r="F414" s="37"/>
      <c r="G414" s="36"/>
      <c r="H414" s="37"/>
      <c r="I414" s="36"/>
      <c r="J414" s="37"/>
      <c r="K414" s="36"/>
      <c r="L414" s="37"/>
      <c r="M414" s="36"/>
      <c r="N414" s="37"/>
      <c r="O414" s="36"/>
      <c r="P414" s="37"/>
      <c r="Q414" s="36"/>
      <c r="R414" s="36"/>
    </row>
    <row r="415" spans="1:18" x14ac:dyDescent="0.25">
      <c r="A415" s="36"/>
      <c r="C415" s="36"/>
      <c r="D415" s="37"/>
      <c r="E415" s="36"/>
      <c r="F415" s="37"/>
      <c r="G415" s="36"/>
      <c r="H415" s="37"/>
      <c r="I415" s="36"/>
      <c r="J415" s="37"/>
      <c r="K415" s="36"/>
      <c r="L415" s="37"/>
      <c r="M415" s="36"/>
      <c r="N415" s="37"/>
      <c r="O415" s="36"/>
      <c r="P415" s="37"/>
      <c r="Q415" s="36"/>
      <c r="R415" s="36"/>
    </row>
    <row r="416" spans="1:18" x14ac:dyDescent="0.25">
      <c r="A416" s="36"/>
      <c r="C416" s="36"/>
      <c r="D416" s="37"/>
      <c r="E416" s="36"/>
      <c r="F416" s="37"/>
      <c r="G416" s="36"/>
      <c r="H416" s="37"/>
      <c r="I416" s="36"/>
      <c r="J416" s="37"/>
      <c r="K416" s="36"/>
      <c r="L416" s="37"/>
      <c r="M416" s="36"/>
      <c r="N416" s="37"/>
      <c r="O416" s="36"/>
      <c r="P416" s="37"/>
      <c r="Q416" s="36"/>
      <c r="R416" s="36"/>
    </row>
    <row r="417" spans="1:18" x14ac:dyDescent="0.25">
      <c r="A417" s="36"/>
      <c r="C417" s="36"/>
      <c r="D417" s="37"/>
      <c r="E417" s="36"/>
      <c r="F417" s="37"/>
      <c r="G417" s="36"/>
      <c r="H417" s="37"/>
      <c r="I417" s="36"/>
      <c r="J417" s="37"/>
      <c r="K417" s="36"/>
      <c r="L417" s="37"/>
      <c r="M417" s="36"/>
      <c r="N417" s="37"/>
      <c r="O417" s="36"/>
      <c r="P417" s="37"/>
      <c r="Q417" s="36"/>
      <c r="R417" s="36"/>
    </row>
    <row r="418" spans="1:18" x14ac:dyDescent="0.25">
      <c r="A418" s="36"/>
      <c r="C418" s="36"/>
      <c r="D418" s="37"/>
      <c r="E418" s="36"/>
      <c r="F418" s="37"/>
      <c r="G418" s="36"/>
      <c r="H418" s="37"/>
      <c r="I418" s="36"/>
      <c r="J418" s="37"/>
      <c r="K418" s="36"/>
      <c r="L418" s="37"/>
      <c r="M418" s="36"/>
      <c r="N418" s="37"/>
      <c r="O418" s="36"/>
      <c r="P418" s="37"/>
      <c r="Q418" s="36"/>
      <c r="R418" s="36"/>
    </row>
    <row r="419" spans="1:18" x14ac:dyDescent="0.25">
      <c r="A419" s="36"/>
      <c r="C419" s="36"/>
      <c r="D419" s="37"/>
      <c r="E419" s="36"/>
      <c r="F419" s="37"/>
      <c r="G419" s="36"/>
      <c r="H419" s="37"/>
      <c r="I419" s="36"/>
      <c r="J419" s="37"/>
      <c r="K419" s="36"/>
      <c r="L419" s="37"/>
      <c r="M419" s="36"/>
      <c r="N419" s="37"/>
      <c r="O419" s="36"/>
      <c r="P419" s="37"/>
      <c r="Q419" s="36"/>
      <c r="R419" s="36"/>
    </row>
    <row r="420" spans="1:18" x14ac:dyDescent="0.25">
      <c r="A420" s="36"/>
      <c r="C420" s="36"/>
      <c r="D420" s="37"/>
      <c r="E420" s="36"/>
      <c r="F420" s="37"/>
      <c r="G420" s="36"/>
      <c r="H420" s="37"/>
      <c r="I420" s="36"/>
      <c r="J420" s="37"/>
      <c r="K420" s="36"/>
      <c r="L420" s="37"/>
      <c r="M420" s="36"/>
      <c r="N420" s="37"/>
      <c r="O420" s="36"/>
      <c r="P420" s="37"/>
      <c r="Q420" s="36"/>
      <c r="R420" s="36"/>
    </row>
    <row r="421" spans="1:18" x14ac:dyDescent="0.25">
      <c r="A421" s="36"/>
      <c r="C421" s="36"/>
      <c r="D421" s="37"/>
      <c r="E421" s="36"/>
      <c r="F421" s="37"/>
      <c r="G421" s="36"/>
      <c r="H421" s="37"/>
      <c r="I421" s="36"/>
      <c r="J421" s="37"/>
      <c r="K421" s="36"/>
      <c r="L421" s="37"/>
      <c r="M421" s="36"/>
      <c r="N421" s="37"/>
      <c r="O421" s="36"/>
      <c r="P421" s="37"/>
      <c r="Q421" s="36"/>
      <c r="R421" s="36"/>
    </row>
    <row r="422" spans="1:18" x14ac:dyDescent="0.25">
      <c r="A422" s="36"/>
      <c r="C422" s="36"/>
      <c r="D422" s="37"/>
      <c r="E422" s="36"/>
      <c r="F422" s="37"/>
      <c r="G422" s="36"/>
      <c r="H422" s="37"/>
      <c r="I422" s="36"/>
      <c r="J422" s="37"/>
      <c r="K422" s="36"/>
      <c r="L422" s="37"/>
      <c r="M422" s="36"/>
      <c r="N422" s="37"/>
      <c r="O422" s="36"/>
      <c r="P422" s="37"/>
      <c r="Q422" s="36"/>
      <c r="R422" s="36"/>
    </row>
    <row r="423" spans="1:18" x14ac:dyDescent="0.25">
      <c r="A423" s="36"/>
      <c r="C423" s="36"/>
      <c r="D423" s="37"/>
      <c r="E423" s="36"/>
      <c r="F423" s="37"/>
      <c r="G423" s="36"/>
      <c r="H423" s="37"/>
      <c r="I423" s="36"/>
      <c r="J423" s="37"/>
      <c r="K423" s="36"/>
      <c r="L423" s="37"/>
      <c r="M423" s="36"/>
      <c r="N423" s="37"/>
      <c r="O423" s="36"/>
      <c r="P423" s="37"/>
      <c r="Q423" s="36"/>
      <c r="R423" s="36"/>
    </row>
    <row r="424" spans="1:18" x14ac:dyDescent="0.25">
      <c r="A424" s="36"/>
      <c r="C424" s="36"/>
      <c r="D424" s="37"/>
      <c r="E424" s="36"/>
      <c r="F424" s="37"/>
      <c r="G424" s="36"/>
      <c r="H424" s="37"/>
      <c r="I424" s="36"/>
      <c r="J424" s="37"/>
      <c r="K424" s="36"/>
      <c r="L424" s="37"/>
      <c r="M424" s="36"/>
      <c r="N424" s="37"/>
      <c r="O424" s="36"/>
      <c r="P424" s="37"/>
      <c r="Q424" s="36"/>
      <c r="R424" s="36"/>
    </row>
    <row r="425" spans="1:18" x14ac:dyDescent="0.25">
      <c r="A425" s="36"/>
      <c r="C425" s="36"/>
      <c r="D425" s="37"/>
      <c r="E425" s="36"/>
      <c r="F425" s="37"/>
      <c r="G425" s="36"/>
      <c r="H425" s="37"/>
      <c r="I425" s="36"/>
      <c r="J425" s="37"/>
      <c r="K425" s="36"/>
      <c r="L425" s="37"/>
      <c r="M425" s="36"/>
      <c r="N425" s="37"/>
      <c r="O425" s="36"/>
      <c r="P425" s="37"/>
      <c r="Q425" s="36"/>
      <c r="R425" s="36"/>
    </row>
    <row r="426" spans="1:18" x14ac:dyDescent="0.25">
      <c r="A426" s="36"/>
      <c r="C426" s="36"/>
      <c r="D426" s="37"/>
      <c r="E426" s="36"/>
      <c r="F426" s="37"/>
      <c r="G426" s="36"/>
      <c r="H426" s="37"/>
      <c r="I426" s="36"/>
      <c r="J426" s="37"/>
      <c r="K426" s="36"/>
      <c r="L426" s="37"/>
      <c r="M426" s="36"/>
      <c r="N426" s="37"/>
      <c r="O426" s="36"/>
      <c r="P426" s="37"/>
      <c r="Q426" s="36"/>
      <c r="R426" s="36"/>
    </row>
    <row r="427" spans="1:18" x14ac:dyDescent="0.25">
      <c r="A427" s="36"/>
      <c r="C427" s="36"/>
      <c r="D427" s="37"/>
      <c r="E427" s="36"/>
      <c r="F427" s="37"/>
      <c r="G427" s="36"/>
      <c r="H427" s="37"/>
      <c r="I427" s="36"/>
      <c r="J427" s="37"/>
      <c r="K427" s="36"/>
      <c r="L427" s="37"/>
      <c r="M427" s="36"/>
      <c r="N427" s="37"/>
      <c r="O427" s="36"/>
      <c r="P427" s="37"/>
      <c r="Q427" s="36"/>
      <c r="R427" s="36"/>
    </row>
    <row r="428" spans="1:18" x14ac:dyDescent="0.25">
      <c r="A428" s="36"/>
      <c r="C428" s="36"/>
      <c r="D428" s="37"/>
      <c r="E428" s="36"/>
      <c r="F428" s="37"/>
      <c r="G428" s="36"/>
      <c r="H428" s="37"/>
      <c r="I428" s="36"/>
      <c r="J428" s="37"/>
      <c r="K428" s="36"/>
      <c r="L428" s="37"/>
      <c r="M428" s="36"/>
      <c r="N428" s="37"/>
      <c r="O428" s="36"/>
      <c r="P428" s="37"/>
      <c r="Q428" s="36"/>
      <c r="R428" s="36"/>
    </row>
    <row r="429" spans="1:18" x14ac:dyDescent="0.25">
      <c r="A429" s="36"/>
      <c r="C429" s="36"/>
      <c r="D429" s="37"/>
      <c r="E429" s="36"/>
      <c r="F429" s="37"/>
      <c r="G429" s="36"/>
      <c r="H429" s="37"/>
      <c r="I429" s="36"/>
      <c r="J429" s="37"/>
      <c r="K429" s="36"/>
      <c r="L429" s="37"/>
      <c r="M429" s="36"/>
      <c r="N429" s="37"/>
      <c r="O429" s="36"/>
      <c r="P429" s="37"/>
      <c r="Q429" s="36"/>
      <c r="R429" s="36"/>
    </row>
    <row r="430" spans="1:18" x14ac:dyDescent="0.25">
      <c r="A430" s="36"/>
      <c r="C430" s="36"/>
      <c r="D430" s="37"/>
      <c r="E430" s="36"/>
      <c r="F430" s="37"/>
      <c r="G430" s="36"/>
      <c r="H430" s="37"/>
      <c r="I430" s="36"/>
      <c r="J430" s="37"/>
      <c r="K430" s="36"/>
      <c r="L430" s="37"/>
      <c r="M430" s="36"/>
      <c r="N430" s="37"/>
      <c r="O430" s="36"/>
      <c r="P430" s="37"/>
      <c r="Q430" s="36"/>
      <c r="R430" s="36"/>
    </row>
    <row r="431" spans="1:18" x14ac:dyDescent="0.25">
      <c r="A431" s="36"/>
      <c r="C431" s="36"/>
      <c r="D431" s="37"/>
      <c r="E431" s="36"/>
      <c r="F431" s="37"/>
      <c r="G431" s="36"/>
      <c r="H431" s="37"/>
      <c r="I431" s="36"/>
      <c r="J431" s="37"/>
      <c r="K431" s="36"/>
      <c r="L431" s="37"/>
      <c r="M431" s="36"/>
      <c r="N431" s="37"/>
      <c r="O431" s="36"/>
      <c r="P431" s="37"/>
      <c r="Q431" s="36"/>
      <c r="R431" s="36"/>
    </row>
    <row r="432" spans="1:18" x14ac:dyDescent="0.25">
      <c r="A432" s="36"/>
      <c r="C432" s="36"/>
      <c r="D432" s="37"/>
      <c r="E432" s="36"/>
      <c r="F432" s="37"/>
      <c r="G432" s="36"/>
      <c r="H432" s="37"/>
      <c r="I432" s="36"/>
      <c r="J432" s="37"/>
      <c r="K432" s="36"/>
      <c r="L432" s="37"/>
      <c r="M432" s="36"/>
      <c r="N432" s="37"/>
      <c r="O432" s="36"/>
      <c r="P432" s="37"/>
      <c r="Q432" s="36"/>
      <c r="R432" s="36"/>
    </row>
    <row r="433" spans="1:18" x14ac:dyDescent="0.25">
      <c r="A433" s="36"/>
      <c r="C433" s="36"/>
      <c r="D433" s="37"/>
      <c r="E433" s="36"/>
      <c r="F433" s="37"/>
      <c r="G433" s="36"/>
      <c r="H433" s="37"/>
      <c r="I433" s="36"/>
      <c r="J433" s="37"/>
      <c r="K433" s="36"/>
      <c r="L433" s="37"/>
      <c r="M433" s="36"/>
      <c r="N433" s="37"/>
      <c r="O433" s="36"/>
      <c r="P433" s="37"/>
      <c r="Q433" s="36"/>
      <c r="R433" s="36"/>
    </row>
    <row r="434" spans="1:18" x14ac:dyDescent="0.25">
      <c r="A434" s="36"/>
      <c r="C434" s="36"/>
      <c r="D434" s="37"/>
      <c r="E434" s="36"/>
      <c r="F434" s="37"/>
      <c r="G434" s="36"/>
      <c r="H434" s="37"/>
      <c r="I434" s="36"/>
      <c r="J434" s="37"/>
      <c r="K434" s="36"/>
      <c r="L434" s="37"/>
      <c r="M434" s="36"/>
      <c r="N434" s="37"/>
      <c r="O434" s="36"/>
      <c r="P434" s="37"/>
      <c r="Q434" s="36"/>
      <c r="R434" s="36"/>
    </row>
    <row r="435" spans="1:18" x14ac:dyDescent="0.25">
      <c r="A435" s="36"/>
      <c r="C435" s="36"/>
      <c r="D435" s="37"/>
      <c r="E435" s="36"/>
      <c r="F435" s="37"/>
      <c r="G435" s="36"/>
      <c r="H435" s="37"/>
      <c r="I435" s="36"/>
      <c r="J435" s="37"/>
      <c r="K435" s="36"/>
      <c r="L435" s="37"/>
      <c r="M435" s="36"/>
      <c r="N435" s="37"/>
      <c r="O435" s="36"/>
      <c r="P435" s="37"/>
      <c r="Q435" s="36"/>
      <c r="R435" s="36"/>
    </row>
    <row r="436" spans="1:18" x14ac:dyDescent="0.25">
      <c r="A436" s="36"/>
      <c r="C436" s="36"/>
      <c r="D436" s="37"/>
      <c r="E436" s="36"/>
      <c r="F436" s="37"/>
      <c r="G436" s="36"/>
      <c r="H436" s="37"/>
      <c r="I436" s="36"/>
      <c r="J436" s="37"/>
      <c r="K436" s="36"/>
      <c r="L436" s="37"/>
      <c r="M436" s="36"/>
      <c r="N436" s="37"/>
      <c r="O436" s="36"/>
      <c r="P436" s="37"/>
      <c r="Q436" s="36"/>
      <c r="R436" s="36"/>
    </row>
    <row r="437" spans="1:18" x14ac:dyDescent="0.25">
      <c r="A437" s="36"/>
      <c r="C437" s="36"/>
      <c r="D437" s="37"/>
      <c r="E437" s="36"/>
      <c r="F437" s="37"/>
      <c r="G437" s="36"/>
      <c r="H437" s="37"/>
      <c r="I437" s="36"/>
      <c r="J437" s="37"/>
      <c r="K437" s="36"/>
      <c r="L437" s="37"/>
      <c r="M437" s="36"/>
      <c r="N437" s="37"/>
      <c r="O437" s="36"/>
      <c r="P437" s="37"/>
      <c r="Q437" s="36"/>
      <c r="R437" s="36"/>
    </row>
    <row r="438" spans="1:18" x14ac:dyDescent="0.25">
      <c r="A438" s="36"/>
      <c r="C438" s="36"/>
      <c r="D438" s="37"/>
      <c r="E438" s="36"/>
      <c r="F438" s="37"/>
      <c r="G438" s="36"/>
      <c r="H438" s="37"/>
      <c r="I438" s="36"/>
      <c r="J438" s="37"/>
      <c r="K438" s="36"/>
      <c r="L438" s="37"/>
      <c r="M438" s="36"/>
      <c r="N438" s="37"/>
      <c r="O438" s="36"/>
      <c r="P438" s="37"/>
      <c r="Q438" s="36"/>
      <c r="R438" s="36"/>
    </row>
    <row r="439" spans="1:18" x14ac:dyDescent="0.25">
      <c r="A439" s="36"/>
      <c r="C439" s="36"/>
      <c r="D439" s="37"/>
      <c r="E439" s="36"/>
      <c r="F439" s="37"/>
      <c r="G439" s="36"/>
      <c r="H439" s="37"/>
      <c r="I439" s="36"/>
      <c r="J439" s="37"/>
      <c r="K439" s="36"/>
      <c r="L439" s="37"/>
      <c r="M439" s="36"/>
      <c r="N439" s="37"/>
      <c r="O439" s="36"/>
      <c r="P439" s="37"/>
      <c r="Q439" s="36"/>
      <c r="R439" s="36"/>
    </row>
    <row r="440" spans="1:18" x14ac:dyDescent="0.25">
      <c r="A440" s="36"/>
      <c r="C440" s="36"/>
      <c r="D440" s="37"/>
      <c r="E440" s="36"/>
      <c r="F440" s="37"/>
      <c r="G440" s="36"/>
      <c r="H440" s="37"/>
      <c r="I440" s="36"/>
      <c r="J440" s="37"/>
      <c r="K440" s="36"/>
      <c r="L440" s="37"/>
      <c r="M440" s="36"/>
      <c r="N440" s="37"/>
      <c r="O440" s="36"/>
      <c r="P440" s="37"/>
      <c r="Q440" s="36"/>
      <c r="R440" s="36"/>
    </row>
    <row r="441" spans="1:18" x14ac:dyDescent="0.25">
      <c r="A441" s="36"/>
      <c r="C441" s="36"/>
      <c r="D441" s="37"/>
      <c r="E441" s="36"/>
      <c r="F441" s="37"/>
      <c r="G441" s="36"/>
      <c r="H441" s="37"/>
      <c r="I441" s="36"/>
      <c r="J441" s="37"/>
      <c r="K441" s="36"/>
      <c r="L441" s="37"/>
      <c r="M441" s="36"/>
      <c r="N441" s="37"/>
      <c r="O441" s="36"/>
      <c r="P441" s="37"/>
      <c r="Q441" s="36"/>
      <c r="R441" s="36"/>
    </row>
    <row r="442" spans="1:18" x14ac:dyDescent="0.25">
      <c r="A442" s="36"/>
      <c r="C442" s="36"/>
      <c r="D442" s="37"/>
      <c r="E442" s="36"/>
      <c r="F442" s="37"/>
      <c r="G442" s="36"/>
      <c r="H442" s="37"/>
      <c r="I442" s="36"/>
      <c r="J442" s="37"/>
      <c r="K442" s="36"/>
      <c r="L442" s="37"/>
      <c r="M442" s="36"/>
      <c r="N442" s="37"/>
      <c r="O442" s="36"/>
      <c r="P442" s="37"/>
      <c r="Q442" s="36"/>
      <c r="R442" s="36"/>
    </row>
    <row r="443" spans="1:18" x14ac:dyDescent="0.25">
      <c r="A443" s="36"/>
      <c r="C443" s="36"/>
      <c r="D443" s="37"/>
      <c r="E443" s="36"/>
      <c r="F443" s="37"/>
      <c r="G443" s="36"/>
      <c r="H443" s="37"/>
      <c r="I443" s="36"/>
      <c r="J443" s="37"/>
      <c r="K443" s="36"/>
      <c r="L443" s="37"/>
      <c r="M443" s="36"/>
      <c r="N443" s="37"/>
      <c r="O443" s="36"/>
      <c r="P443" s="37"/>
      <c r="Q443" s="36"/>
      <c r="R443" s="36"/>
    </row>
    <row r="444" spans="1:18" x14ac:dyDescent="0.25">
      <c r="A444" s="36"/>
      <c r="C444" s="36"/>
      <c r="D444" s="37"/>
      <c r="E444" s="36"/>
      <c r="F444" s="37"/>
      <c r="G444" s="36"/>
      <c r="H444" s="37"/>
      <c r="I444" s="36"/>
      <c r="J444" s="37"/>
      <c r="K444" s="36"/>
      <c r="L444" s="37"/>
      <c r="M444" s="36"/>
      <c r="N444" s="37"/>
      <c r="O444" s="36"/>
      <c r="P444" s="37"/>
      <c r="Q444" s="36"/>
      <c r="R444" s="36"/>
    </row>
    <row r="445" spans="1:18" x14ac:dyDescent="0.25">
      <c r="A445" s="36"/>
      <c r="C445" s="36"/>
      <c r="D445" s="37"/>
      <c r="E445" s="36"/>
      <c r="F445" s="37"/>
      <c r="G445" s="36"/>
      <c r="H445" s="37"/>
      <c r="I445" s="36"/>
      <c r="J445" s="37"/>
      <c r="K445" s="36"/>
      <c r="L445" s="37"/>
      <c r="M445" s="36"/>
      <c r="N445" s="37"/>
      <c r="O445" s="36"/>
      <c r="P445" s="37"/>
      <c r="Q445" s="36"/>
      <c r="R445" s="36"/>
    </row>
    <row r="446" spans="1:18" x14ac:dyDescent="0.25">
      <c r="A446" s="36"/>
      <c r="C446" s="36"/>
      <c r="D446" s="37"/>
      <c r="E446" s="36"/>
      <c r="F446" s="37"/>
      <c r="G446" s="36"/>
      <c r="H446" s="37"/>
      <c r="I446" s="36"/>
      <c r="J446" s="37"/>
      <c r="K446" s="36"/>
      <c r="L446" s="37"/>
      <c r="M446" s="36"/>
      <c r="N446" s="37"/>
      <c r="O446" s="36"/>
      <c r="P446" s="37"/>
      <c r="Q446" s="36"/>
      <c r="R446" s="36"/>
    </row>
    <row r="447" spans="1:18" x14ac:dyDescent="0.25">
      <c r="A447" s="36"/>
      <c r="C447" s="36"/>
      <c r="D447" s="37"/>
      <c r="E447" s="36"/>
      <c r="F447" s="37"/>
      <c r="G447" s="36"/>
      <c r="H447" s="37"/>
      <c r="I447" s="36"/>
      <c r="J447" s="37"/>
      <c r="K447" s="36"/>
      <c r="L447" s="37"/>
      <c r="M447" s="36"/>
      <c r="N447" s="37"/>
      <c r="O447" s="36"/>
      <c r="P447" s="37"/>
      <c r="Q447" s="36"/>
      <c r="R447" s="36"/>
    </row>
    <row r="448" spans="1:18" x14ac:dyDescent="0.25">
      <c r="A448" s="36"/>
      <c r="C448" s="36"/>
      <c r="D448" s="37"/>
      <c r="E448" s="36"/>
      <c r="F448" s="37"/>
      <c r="G448" s="36"/>
      <c r="H448" s="37"/>
      <c r="I448" s="36"/>
      <c r="J448" s="37"/>
      <c r="K448" s="36"/>
      <c r="L448" s="37"/>
      <c r="M448" s="36"/>
      <c r="N448" s="37"/>
      <c r="O448" s="36"/>
      <c r="P448" s="37"/>
      <c r="Q448" s="36"/>
      <c r="R448" s="36"/>
    </row>
    <row r="449" spans="1:18" x14ac:dyDescent="0.25">
      <c r="A449" s="36"/>
      <c r="C449" s="36"/>
      <c r="D449" s="37"/>
      <c r="E449" s="36"/>
      <c r="F449" s="37"/>
      <c r="G449" s="36"/>
      <c r="H449" s="37"/>
      <c r="I449" s="36"/>
      <c r="J449" s="37"/>
      <c r="K449" s="36"/>
      <c r="L449" s="37"/>
      <c r="M449" s="36"/>
      <c r="N449" s="37"/>
      <c r="O449" s="36"/>
      <c r="P449" s="37"/>
      <c r="Q449" s="36"/>
      <c r="R449" s="36"/>
    </row>
    <row r="450" spans="1:18" x14ac:dyDescent="0.25">
      <c r="A450" s="36"/>
      <c r="C450" s="36"/>
      <c r="D450" s="37"/>
      <c r="E450" s="36"/>
      <c r="F450" s="37"/>
      <c r="G450" s="36"/>
      <c r="H450" s="37"/>
      <c r="I450" s="36"/>
      <c r="J450" s="37"/>
      <c r="K450" s="36"/>
      <c r="L450" s="37"/>
      <c r="M450" s="36"/>
      <c r="N450" s="37"/>
      <c r="O450" s="36"/>
      <c r="P450" s="37"/>
      <c r="Q450" s="36"/>
      <c r="R450" s="36"/>
    </row>
    <row r="451" spans="1:18" x14ac:dyDescent="0.25">
      <c r="A451" s="36"/>
      <c r="C451" s="36"/>
      <c r="D451" s="37"/>
      <c r="E451" s="36"/>
      <c r="F451" s="37"/>
      <c r="G451" s="36"/>
      <c r="H451" s="37"/>
      <c r="I451" s="36"/>
      <c r="J451" s="37"/>
      <c r="K451" s="36"/>
      <c r="L451" s="37"/>
      <c r="M451" s="36"/>
      <c r="N451" s="37"/>
      <c r="O451" s="36"/>
      <c r="P451" s="37"/>
      <c r="Q451" s="36"/>
      <c r="R451" s="36"/>
    </row>
    <row r="452" spans="1:18" x14ac:dyDescent="0.25">
      <c r="A452" s="36"/>
      <c r="C452" s="36"/>
      <c r="D452" s="37"/>
      <c r="E452" s="36"/>
      <c r="F452" s="37"/>
      <c r="G452" s="36"/>
      <c r="H452" s="37"/>
      <c r="I452" s="36"/>
      <c r="J452" s="37"/>
      <c r="K452" s="36"/>
      <c r="L452" s="37"/>
      <c r="M452" s="36"/>
      <c r="N452" s="37"/>
      <c r="O452" s="36"/>
      <c r="P452" s="37"/>
      <c r="Q452" s="36"/>
      <c r="R452" s="36"/>
    </row>
    <row r="453" spans="1:18" x14ac:dyDescent="0.25">
      <c r="A453" s="36"/>
      <c r="C453" s="36"/>
      <c r="D453" s="37"/>
      <c r="E453" s="36"/>
      <c r="F453" s="37"/>
      <c r="G453" s="36"/>
      <c r="H453" s="37"/>
      <c r="I453" s="36"/>
      <c r="J453" s="37"/>
      <c r="K453" s="36"/>
      <c r="L453" s="37"/>
      <c r="M453" s="36"/>
      <c r="N453" s="37"/>
      <c r="O453" s="36"/>
      <c r="P453" s="37"/>
      <c r="Q453" s="36"/>
      <c r="R453" s="36"/>
    </row>
    <row r="454" spans="1:18" x14ac:dyDescent="0.25">
      <c r="A454" s="36"/>
      <c r="C454" s="36"/>
      <c r="D454" s="37"/>
      <c r="E454" s="36"/>
      <c r="F454" s="37"/>
      <c r="G454" s="36"/>
      <c r="H454" s="37"/>
      <c r="I454" s="36"/>
      <c r="J454" s="37"/>
      <c r="K454" s="36"/>
      <c r="L454" s="37"/>
      <c r="M454" s="36"/>
      <c r="N454" s="37"/>
      <c r="O454" s="36"/>
      <c r="P454" s="37"/>
      <c r="Q454" s="36"/>
      <c r="R454" s="36"/>
    </row>
    <row r="455" spans="1:18" x14ac:dyDescent="0.25">
      <c r="A455" s="36"/>
      <c r="C455" s="36"/>
      <c r="D455" s="37"/>
      <c r="E455" s="36"/>
      <c r="F455" s="37"/>
      <c r="G455" s="36"/>
      <c r="H455" s="37"/>
      <c r="I455" s="36"/>
      <c r="J455" s="37"/>
      <c r="K455" s="36"/>
      <c r="L455" s="37"/>
      <c r="M455" s="36"/>
      <c r="N455" s="37"/>
      <c r="O455" s="36"/>
      <c r="P455" s="37"/>
      <c r="Q455" s="36"/>
      <c r="R455" s="36"/>
    </row>
    <row r="456" spans="1:18" x14ac:dyDescent="0.25">
      <c r="A456" s="36"/>
      <c r="C456" s="36"/>
      <c r="D456" s="37"/>
      <c r="E456" s="36"/>
      <c r="F456" s="37"/>
      <c r="G456" s="36"/>
      <c r="H456" s="37"/>
      <c r="I456" s="36"/>
      <c r="J456" s="37"/>
      <c r="K456" s="36"/>
      <c r="L456" s="37"/>
      <c r="M456" s="36"/>
      <c r="N456" s="37"/>
      <c r="O456" s="36"/>
      <c r="P456" s="37"/>
      <c r="Q456" s="36"/>
      <c r="R456" s="36"/>
    </row>
    <row r="457" spans="1:18" x14ac:dyDescent="0.25">
      <c r="A457" s="36"/>
      <c r="C457" s="36"/>
      <c r="D457" s="37"/>
      <c r="E457" s="36"/>
      <c r="F457" s="37"/>
      <c r="G457" s="36"/>
      <c r="H457" s="37"/>
      <c r="I457" s="36"/>
      <c r="J457" s="37"/>
      <c r="K457" s="36"/>
      <c r="L457" s="37"/>
      <c r="M457" s="36"/>
      <c r="N457" s="37"/>
      <c r="O457" s="36"/>
      <c r="P457" s="37"/>
      <c r="Q457" s="36"/>
      <c r="R457" s="36"/>
    </row>
    <row r="458" spans="1:18" x14ac:dyDescent="0.25">
      <c r="A458" s="36"/>
      <c r="C458" s="36"/>
      <c r="D458" s="37"/>
      <c r="E458" s="36"/>
      <c r="F458" s="37"/>
      <c r="G458" s="36"/>
      <c r="H458" s="37"/>
      <c r="I458" s="36"/>
      <c r="J458" s="37"/>
      <c r="K458" s="36"/>
      <c r="L458" s="37"/>
      <c r="M458" s="36"/>
      <c r="N458" s="37"/>
      <c r="O458" s="36"/>
      <c r="P458" s="37"/>
      <c r="Q458" s="36"/>
      <c r="R458" s="36"/>
    </row>
    <row r="459" spans="1:18" x14ac:dyDescent="0.25">
      <c r="A459" s="36"/>
      <c r="C459" s="36"/>
      <c r="D459" s="37"/>
      <c r="E459" s="36"/>
      <c r="F459" s="37"/>
      <c r="G459" s="36"/>
      <c r="H459" s="37"/>
      <c r="I459" s="36"/>
      <c r="J459" s="37"/>
      <c r="K459" s="36"/>
      <c r="L459" s="37"/>
      <c r="M459" s="36"/>
      <c r="N459" s="37"/>
      <c r="O459" s="36"/>
      <c r="P459" s="37"/>
      <c r="Q459" s="36"/>
      <c r="R459" s="36"/>
    </row>
    <row r="460" spans="1:18" x14ac:dyDescent="0.25">
      <c r="A460" s="36"/>
      <c r="C460" s="36"/>
      <c r="D460" s="37"/>
      <c r="E460" s="36"/>
      <c r="F460" s="37"/>
      <c r="G460" s="36"/>
      <c r="H460" s="37"/>
      <c r="I460" s="36"/>
      <c r="J460" s="37"/>
      <c r="K460" s="36"/>
      <c r="L460" s="37"/>
      <c r="M460" s="36"/>
      <c r="N460" s="37"/>
      <c r="O460" s="36"/>
      <c r="P460" s="37"/>
      <c r="Q460" s="36"/>
      <c r="R460" s="36"/>
    </row>
    <row r="461" spans="1:18" x14ac:dyDescent="0.25">
      <c r="A461" s="36"/>
      <c r="C461" s="36"/>
      <c r="D461" s="37"/>
      <c r="E461" s="36"/>
      <c r="F461" s="37"/>
      <c r="G461" s="36"/>
      <c r="H461" s="37"/>
      <c r="I461" s="36"/>
      <c r="J461" s="37"/>
      <c r="K461" s="36"/>
      <c r="L461" s="37"/>
      <c r="M461" s="36"/>
      <c r="N461" s="37"/>
      <c r="O461" s="36"/>
      <c r="P461" s="37"/>
      <c r="Q461" s="36"/>
      <c r="R461" s="36"/>
    </row>
    <row r="462" spans="1:18" x14ac:dyDescent="0.25">
      <c r="A462" s="36"/>
      <c r="C462" s="36"/>
      <c r="D462" s="37"/>
      <c r="E462" s="36"/>
      <c r="F462" s="37"/>
      <c r="G462" s="36"/>
      <c r="H462" s="37"/>
      <c r="I462" s="36"/>
      <c r="J462" s="37"/>
      <c r="K462" s="36"/>
      <c r="L462" s="37"/>
      <c r="M462" s="36"/>
      <c r="N462" s="37"/>
      <c r="O462" s="36"/>
      <c r="P462" s="37"/>
      <c r="Q462" s="36"/>
      <c r="R462" s="36"/>
    </row>
    <row r="463" spans="1:18" x14ac:dyDescent="0.25">
      <c r="A463" s="36"/>
      <c r="C463" s="36"/>
      <c r="D463" s="37"/>
      <c r="E463" s="36"/>
      <c r="F463" s="37"/>
      <c r="G463" s="36"/>
      <c r="H463" s="37"/>
      <c r="I463" s="36"/>
      <c r="J463" s="37"/>
      <c r="K463" s="36"/>
      <c r="L463" s="37"/>
      <c r="M463" s="36"/>
      <c r="N463" s="37"/>
      <c r="O463" s="36"/>
      <c r="P463" s="37"/>
      <c r="Q463" s="36"/>
      <c r="R463" s="36"/>
    </row>
    <row r="464" spans="1:18" x14ac:dyDescent="0.25">
      <c r="A464" s="36"/>
      <c r="C464" s="36"/>
      <c r="D464" s="37"/>
      <c r="E464" s="36"/>
      <c r="F464" s="37"/>
      <c r="G464" s="36"/>
      <c r="H464" s="37"/>
      <c r="I464" s="36"/>
      <c r="J464" s="37"/>
      <c r="K464" s="36"/>
      <c r="L464" s="37"/>
      <c r="M464" s="36"/>
      <c r="N464" s="37"/>
      <c r="O464" s="36"/>
      <c r="P464" s="37"/>
      <c r="Q464" s="36"/>
      <c r="R464" s="36"/>
    </row>
    <row r="465" spans="1:18" x14ac:dyDescent="0.25">
      <c r="A465" s="36"/>
      <c r="C465" s="36"/>
      <c r="D465" s="37"/>
      <c r="E465" s="36"/>
      <c r="F465" s="37"/>
      <c r="G465" s="36"/>
      <c r="H465" s="37"/>
      <c r="I465" s="36"/>
      <c r="J465" s="37"/>
      <c r="K465" s="36"/>
      <c r="L465" s="37"/>
      <c r="M465" s="36"/>
      <c r="N465" s="37"/>
      <c r="O465" s="36"/>
      <c r="P465" s="37"/>
      <c r="Q465" s="36"/>
      <c r="R465" s="36"/>
    </row>
    <row r="466" spans="1:18" x14ac:dyDescent="0.25">
      <c r="A466" s="36"/>
      <c r="C466" s="36"/>
      <c r="D466" s="37"/>
      <c r="E466" s="36"/>
      <c r="F466" s="37"/>
      <c r="G466" s="36"/>
      <c r="H466" s="37"/>
      <c r="I466" s="36"/>
      <c r="J466" s="37"/>
      <c r="K466" s="36"/>
      <c r="L466" s="37"/>
      <c r="M466" s="36"/>
      <c r="N466" s="37"/>
      <c r="O466" s="36"/>
      <c r="P466" s="37"/>
      <c r="Q466" s="36"/>
      <c r="R466" s="36"/>
    </row>
    <row r="467" spans="1:18" x14ac:dyDescent="0.25">
      <c r="A467" s="36"/>
      <c r="C467" s="36"/>
      <c r="D467" s="37"/>
      <c r="E467" s="36"/>
      <c r="F467" s="37"/>
      <c r="G467" s="36"/>
      <c r="H467" s="37"/>
      <c r="I467" s="36"/>
      <c r="J467" s="37"/>
      <c r="K467" s="36"/>
      <c r="L467" s="37"/>
      <c r="M467" s="36"/>
      <c r="N467" s="37"/>
      <c r="O467" s="36"/>
      <c r="P467" s="37"/>
      <c r="Q467" s="36"/>
      <c r="R467" s="36"/>
    </row>
    <row r="468" spans="1:18" x14ac:dyDescent="0.25">
      <c r="A468" s="36"/>
      <c r="C468" s="36"/>
      <c r="D468" s="37"/>
      <c r="E468" s="36"/>
      <c r="F468" s="37"/>
      <c r="G468" s="36"/>
      <c r="H468" s="37"/>
      <c r="I468" s="36"/>
      <c r="J468" s="37"/>
      <c r="K468" s="36"/>
      <c r="L468" s="37"/>
      <c r="M468" s="36"/>
      <c r="N468" s="37"/>
      <c r="O468" s="36"/>
      <c r="P468" s="37"/>
      <c r="Q468" s="36"/>
      <c r="R468" s="36"/>
    </row>
    <row r="469" spans="1:18" x14ac:dyDescent="0.25">
      <c r="A469" s="36"/>
      <c r="C469" s="36"/>
      <c r="D469" s="37"/>
      <c r="E469" s="36"/>
      <c r="F469" s="37"/>
      <c r="G469" s="36"/>
      <c r="H469" s="37"/>
      <c r="I469" s="36"/>
      <c r="J469" s="37"/>
      <c r="K469" s="36"/>
      <c r="L469" s="37"/>
      <c r="M469" s="36"/>
      <c r="N469" s="37"/>
      <c r="O469" s="36"/>
      <c r="P469" s="37"/>
      <c r="Q469" s="36"/>
      <c r="R469" s="36"/>
    </row>
    <row r="470" spans="1:18" x14ac:dyDescent="0.25">
      <c r="A470" s="36"/>
      <c r="C470" s="36"/>
      <c r="D470" s="37"/>
      <c r="E470" s="36"/>
      <c r="F470" s="37"/>
      <c r="G470" s="36"/>
      <c r="H470" s="37"/>
      <c r="I470" s="36"/>
      <c r="J470" s="37"/>
      <c r="K470" s="36"/>
      <c r="L470" s="37"/>
      <c r="M470" s="36"/>
      <c r="N470" s="37"/>
      <c r="O470" s="36"/>
      <c r="P470" s="37"/>
      <c r="Q470" s="36"/>
      <c r="R470" s="36"/>
    </row>
    <row r="471" spans="1:18" x14ac:dyDescent="0.25">
      <c r="A471" s="36"/>
      <c r="C471" s="36"/>
      <c r="D471" s="37"/>
      <c r="E471" s="36"/>
      <c r="F471" s="37"/>
      <c r="G471" s="36"/>
      <c r="H471" s="37"/>
      <c r="I471" s="36"/>
      <c r="J471" s="37"/>
      <c r="K471" s="36"/>
      <c r="L471" s="37"/>
      <c r="M471" s="36"/>
      <c r="N471" s="37"/>
      <c r="O471" s="36"/>
      <c r="P471" s="37"/>
      <c r="Q471" s="36"/>
      <c r="R471" s="36"/>
    </row>
    <row r="472" spans="1:18" x14ac:dyDescent="0.25">
      <c r="A472" s="36"/>
      <c r="C472" s="36"/>
      <c r="D472" s="37"/>
      <c r="E472" s="36"/>
      <c r="F472" s="37"/>
      <c r="G472" s="36"/>
      <c r="H472" s="37"/>
      <c r="I472" s="36"/>
      <c r="J472" s="37"/>
      <c r="K472" s="36"/>
      <c r="L472" s="37"/>
      <c r="M472" s="36"/>
      <c r="N472" s="37"/>
      <c r="O472" s="36"/>
      <c r="P472" s="37"/>
      <c r="Q472" s="36"/>
      <c r="R472" s="36"/>
    </row>
    <row r="473" spans="1:18" x14ac:dyDescent="0.25">
      <c r="A473" s="36"/>
      <c r="C473" s="36"/>
      <c r="D473" s="37"/>
      <c r="E473" s="36"/>
      <c r="F473" s="37"/>
      <c r="G473" s="36"/>
      <c r="H473" s="37"/>
      <c r="I473" s="36"/>
      <c r="J473" s="37"/>
      <c r="K473" s="36"/>
      <c r="L473" s="37"/>
      <c r="M473" s="36"/>
      <c r="N473" s="37"/>
      <c r="O473" s="36"/>
      <c r="P473" s="37"/>
      <c r="Q473" s="36"/>
      <c r="R473" s="36"/>
    </row>
    <row r="474" spans="1:18" x14ac:dyDescent="0.25">
      <c r="A474" s="36"/>
      <c r="C474" s="36"/>
      <c r="D474" s="37"/>
      <c r="E474" s="36"/>
      <c r="F474" s="37"/>
      <c r="G474" s="36"/>
      <c r="H474" s="37"/>
      <c r="I474" s="36"/>
      <c r="J474" s="37"/>
      <c r="K474" s="36"/>
      <c r="L474" s="37"/>
      <c r="M474" s="36"/>
      <c r="N474" s="37"/>
      <c r="O474" s="36"/>
      <c r="P474" s="37"/>
      <c r="Q474" s="36"/>
      <c r="R474" s="36"/>
    </row>
    <row r="475" spans="1:18" x14ac:dyDescent="0.25">
      <c r="A475" s="36"/>
      <c r="C475" s="36"/>
      <c r="D475" s="37"/>
      <c r="E475" s="36"/>
      <c r="F475" s="37"/>
      <c r="G475" s="36"/>
      <c r="H475" s="37"/>
      <c r="I475" s="36"/>
      <c r="J475" s="37"/>
      <c r="K475" s="36"/>
      <c r="L475" s="37"/>
      <c r="M475" s="36"/>
      <c r="N475" s="37"/>
      <c r="O475" s="36"/>
      <c r="P475" s="37"/>
      <c r="Q475" s="36"/>
      <c r="R475" s="36"/>
    </row>
    <row r="476" spans="1:18" x14ac:dyDescent="0.25">
      <c r="A476" s="36"/>
      <c r="C476" s="36"/>
      <c r="D476" s="37"/>
      <c r="E476" s="36"/>
      <c r="F476" s="37"/>
      <c r="G476" s="36"/>
      <c r="H476" s="37"/>
      <c r="I476" s="36"/>
      <c r="J476" s="37"/>
      <c r="K476" s="36"/>
      <c r="L476" s="37"/>
      <c r="M476" s="36"/>
      <c r="N476" s="37"/>
      <c r="O476" s="36"/>
      <c r="P476" s="37"/>
      <c r="Q476" s="36"/>
      <c r="R476" s="36"/>
    </row>
    <row r="477" spans="1:18" x14ac:dyDescent="0.25">
      <c r="A477" s="36"/>
      <c r="C477" s="36"/>
      <c r="D477" s="37"/>
      <c r="E477" s="36"/>
      <c r="F477" s="37"/>
      <c r="G477" s="36"/>
      <c r="H477" s="37"/>
      <c r="I477" s="36"/>
      <c r="J477" s="37"/>
      <c r="K477" s="36"/>
      <c r="L477" s="37"/>
      <c r="M477" s="36"/>
      <c r="N477" s="37"/>
      <c r="O477" s="36"/>
      <c r="P477" s="37"/>
      <c r="Q477" s="36"/>
      <c r="R477" s="36"/>
    </row>
    <row r="478" spans="1:18" x14ac:dyDescent="0.25">
      <c r="A478" s="36"/>
      <c r="C478" s="36"/>
      <c r="D478" s="37"/>
      <c r="E478" s="36"/>
      <c r="F478" s="37"/>
      <c r="G478" s="36"/>
      <c r="H478" s="37"/>
      <c r="I478" s="36"/>
      <c r="J478" s="37"/>
      <c r="K478" s="36"/>
      <c r="L478" s="37"/>
      <c r="M478" s="36"/>
      <c r="N478" s="37"/>
      <c r="O478" s="36"/>
      <c r="P478" s="37"/>
      <c r="Q478" s="36"/>
      <c r="R478" s="36"/>
    </row>
    <row r="479" spans="1:18" x14ac:dyDescent="0.25">
      <c r="A479" s="36"/>
      <c r="C479" s="36"/>
      <c r="D479" s="37"/>
      <c r="E479" s="36"/>
      <c r="F479" s="37"/>
      <c r="G479" s="36"/>
      <c r="H479" s="37"/>
      <c r="I479" s="36"/>
      <c r="J479" s="37"/>
      <c r="K479" s="36"/>
      <c r="L479" s="37"/>
      <c r="M479" s="36"/>
      <c r="N479" s="37"/>
      <c r="O479" s="36"/>
      <c r="P479" s="37"/>
      <c r="Q479" s="36"/>
      <c r="R479" s="36"/>
    </row>
    <row r="480" spans="1:18" x14ac:dyDescent="0.25">
      <c r="A480" s="36"/>
      <c r="C480" s="36"/>
      <c r="D480" s="37"/>
      <c r="E480" s="36"/>
      <c r="F480" s="37"/>
      <c r="G480" s="36"/>
      <c r="H480" s="37"/>
      <c r="I480" s="36"/>
      <c r="J480" s="37"/>
      <c r="K480" s="36"/>
      <c r="L480" s="37"/>
      <c r="M480" s="36"/>
      <c r="N480" s="37"/>
      <c r="O480" s="36"/>
      <c r="P480" s="37"/>
      <c r="Q480" s="36"/>
      <c r="R480" s="36"/>
    </row>
    <row r="481" spans="1:18" x14ac:dyDescent="0.25">
      <c r="A481" s="36"/>
      <c r="C481" s="36"/>
      <c r="D481" s="37"/>
      <c r="E481" s="36"/>
      <c r="F481" s="37"/>
      <c r="G481" s="36"/>
      <c r="H481" s="37"/>
      <c r="I481" s="36"/>
      <c r="J481" s="37"/>
      <c r="K481" s="36"/>
      <c r="L481" s="37"/>
      <c r="M481" s="36"/>
      <c r="N481" s="37"/>
      <c r="O481" s="36"/>
      <c r="P481" s="37"/>
      <c r="Q481" s="36"/>
      <c r="R481" s="36"/>
    </row>
    <row r="482" spans="1:18" x14ac:dyDescent="0.25">
      <c r="A482" s="36"/>
      <c r="C482" s="36"/>
      <c r="D482" s="37"/>
      <c r="E482" s="36"/>
      <c r="F482" s="37"/>
      <c r="G482" s="36"/>
      <c r="H482" s="37"/>
      <c r="I482" s="36"/>
      <c r="J482" s="37"/>
      <c r="K482" s="36"/>
      <c r="L482" s="37"/>
      <c r="M482" s="36"/>
      <c r="N482" s="37"/>
      <c r="O482" s="36"/>
      <c r="P482" s="37"/>
      <c r="Q482" s="36"/>
      <c r="R482" s="36"/>
    </row>
    <row r="483" spans="1:18" x14ac:dyDescent="0.25">
      <c r="A483" s="36"/>
      <c r="C483" s="36"/>
      <c r="D483" s="37"/>
      <c r="E483" s="36"/>
      <c r="F483" s="37"/>
      <c r="G483" s="36"/>
      <c r="H483" s="37"/>
      <c r="I483" s="36"/>
      <c r="J483" s="37"/>
      <c r="K483" s="36"/>
      <c r="L483" s="37"/>
      <c r="M483" s="36"/>
      <c r="N483" s="37"/>
      <c r="O483" s="36"/>
      <c r="P483" s="37"/>
      <c r="Q483" s="36"/>
      <c r="R483" s="36"/>
    </row>
    <row r="484" spans="1:18" x14ac:dyDescent="0.25">
      <c r="A484" s="36"/>
      <c r="C484" s="36"/>
      <c r="D484" s="37"/>
      <c r="E484" s="36"/>
      <c r="F484" s="37"/>
      <c r="G484" s="36"/>
      <c r="H484" s="37"/>
      <c r="I484" s="36"/>
      <c r="J484" s="37"/>
      <c r="K484" s="36"/>
      <c r="L484" s="37"/>
      <c r="M484" s="36"/>
      <c r="N484" s="37"/>
      <c r="O484" s="36"/>
      <c r="P484" s="37"/>
      <c r="Q484" s="36"/>
      <c r="R484" s="36"/>
    </row>
    <row r="485" spans="1:18" x14ac:dyDescent="0.25">
      <c r="A485" s="36"/>
      <c r="C485" s="36"/>
      <c r="D485" s="37"/>
      <c r="E485" s="36"/>
      <c r="F485" s="37"/>
      <c r="G485" s="36"/>
      <c r="H485" s="37"/>
      <c r="I485" s="36"/>
      <c r="J485" s="37"/>
      <c r="K485" s="36"/>
      <c r="L485" s="37"/>
      <c r="M485" s="36"/>
      <c r="N485" s="37"/>
      <c r="O485" s="36"/>
      <c r="P485" s="37"/>
      <c r="Q485" s="36"/>
      <c r="R485" s="36"/>
    </row>
    <row r="486" spans="1:18" x14ac:dyDescent="0.25">
      <c r="A486" s="36"/>
      <c r="C486" s="36"/>
      <c r="D486" s="37"/>
      <c r="E486" s="36"/>
      <c r="F486" s="37"/>
      <c r="G486" s="36"/>
      <c r="H486" s="37"/>
      <c r="I486" s="36"/>
      <c r="J486" s="37"/>
      <c r="K486" s="36"/>
      <c r="L486" s="37"/>
      <c r="M486" s="36"/>
      <c r="N486" s="37"/>
      <c r="O486" s="36"/>
      <c r="P486" s="37"/>
      <c r="Q486" s="36"/>
      <c r="R486" s="36"/>
    </row>
    <row r="487" spans="1:18" x14ac:dyDescent="0.25">
      <c r="A487" s="36"/>
      <c r="C487" s="36"/>
      <c r="D487" s="37"/>
      <c r="E487" s="36"/>
      <c r="F487" s="37"/>
      <c r="G487" s="36"/>
      <c r="H487" s="37"/>
      <c r="I487" s="36"/>
      <c r="J487" s="37"/>
      <c r="K487" s="36"/>
      <c r="L487" s="37"/>
      <c r="M487" s="36"/>
      <c r="N487" s="37"/>
      <c r="O487" s="36"/>
      <c r="P487" s="37"/>
      <c r="Q487" s="36"/>
      <c r="R487" s="36"/>
    </row>
    <row r="488" spans="1:18" x14ac:dyDescent="0.25">
      <c r="A488" s="36"/>
      <c r="C488" s="36"/>
      <c r="D488" s="37"/>
      <c r="E488" s="36"/>
      <c r="F488" s="37"/>
      <c r="G488" s="36"/>
      <c r="H488" s="37"/>
      <c r="I488" s="36"/>
      <c r="J488" s="37"/>
      <c r="K488" s="36"/>
      <c r="L488" s="37"/>
      <c r="M488" s="36"/>
      <c r="N488" s="37"/>
      <c r="O488" s="36"/>
      <c r="P488" s="37"/>
      <c r="Q488" s="36"/>
      <c r="R488" s="36"/>
    </row>
    <row r="489" spans="1:18" x14ac:dyDescent="0.25">
      <c r="A489" s="36"/>
      <c r="C489" s="36"/>
      <c r="D489" s="37"/>
      <c r="E489" s="36"/>
      <c r="F489" s="37"/>
      <c r="G489" s="36"/>
      <c r="H489" s="37"/>
      <c r="I489" s="36"/>
      <c r="J489" s="37"/>
      <c r="K489" s="36"/>
      <c r="L489" s="37"/>
      <c r="M489" s="36"/>
      <c r="N489" s="37"/>
      <c r="O489" s="36"/>
      <c r="P489" s="37"/>
      <c r="Q489" s="36"/>
      <c r="R489" s="36"/>
    </row>
    <row r="490" spans="1:18" x14ac:dyDescent="0.25">
      <c r="A490" s="36"/>
      <c r="C490" s="36"/>
      <c r="D490" s="37"/>
      <c r="E490" s="36"/>
      <c r="F490" s="37"/>
      <c r="G490" s="36"/>
      <c r="H490" s="37"/>
      <c r="I490" s="36"/>
      <c r="J490" s="37"/>
      <c r="K490" s="36"/>
      <c r="L490" s="37"/>
      <c r="M490" s="36"/>
      <c r="N490" s="37"/>
      <c r="O490" s="36"/>
      <c r="P490" s="37"/>
      <c r="Q490" s="36"/>
      <c r="R490" s="36"/>
    </row>
    <row r="491" spans="1:18" x14ac:dyDescent="0.25">
      <c r="A491" s="36"/>
      <c r="C491" s="36"/>
      <c r="D491" s="37"/>
      <c r="E491" s="36"/>
      <c r="F491" s="37"/>
      <c r="G491" s="36"/>
      <c r="H491" s="37"/>
      <c r="I491" s="36"/>
      <c r="J491" s="37"/>
      <c r="K491" s="36"/>
      <c r="L491" s="37"/>
      <c r="M491" s="36"/>
      <c r="N491" s="37"/>
      <c r="O491" s="36"/>
      <c r="P491" s="37"/>
      <c r="Q491" s="36"/>
      <c r="R491" s="36"/>
    </row>
    <row r="492" spans="1:18" x14ac:dyDescent="0.25">
      <c r="A492" s="36"/>
      <c r="C492" s="36"/>
      <c r="D492" s="37"/>
      <c r="E492" s="36"/>
      <c r="F492" s="37"/>
      <c r="G492" s="36"/>
      <c r="H492" s="37"/>
      <c r="I492" s="36"/>
      <c r="J492" s="37"/>
      <c r="K492" s="36"/>
      <c r="L492" s="37"/>
      <c r="M492" s="36"/>
      <c r="N492" s="37"/>
      <c r="O492" s="36"/>
      <c r="P492" s="37"/>
      <c r="Q492" s="36"/>
      <c r="R492" s="36"/>
    </row>
    <row r="493" spans="1:18" x14ac:dyDescent="0.25">
      <c r="A493" s="36"/>
      <c r="C493" s="36"/>
      <c r="D493" s="37"/>
      <c r="E493" s="36"/>
      <c r="F493" s="37"/>
      <c r="G493" s="36"/>
      <c r="H493" s="37"/>
      <c r="I493" s="36"/>
      <c r="J493" s="37"/>
      <c r="K493" s="36"/>
      <c r="L493" s="37"/>
      <c r="M493" s="36"/>
      <c r="N493" s="37"/>
      <c r="O493" s="36"/>
      <c r="P493" s="37"/>
      <c r="Q493" s="36"/>
      <c r="R493" s="36"/>
    </row>
    <row r="494" spans="1:18" x14ac:dyDescent="0.25">
      <c r="A494" s="36"/>
      <c r="C494" s="36"/>
      <c r="D494" s="37"/>
      <c r="E494" s="36"/>
      <c r="F494" s="37"/>
      <c r="G494" s="36"/>
      <c r="H494" s="37"/>
      <c r="I494" s="36"/>
      <c r="J494" s="37"/>
      <c r="K494" s="36"/>
      <c r="L494" s="37"/>
      <c r="M494" s="36"/>
      <c r="N494" s="37"/>
      <c r="O494" s="36"/>
      <c r="P494" s="37"/>
      <c r="Q494" s="36"/>
      <c r="R494" s="36"/>
    </row>
    <row r="495" spans="1:18" x14ac:dyDescent="0.25">
      <c r="A495" s="36"/>
      <c r="C495" s="36"/>
      <c r="D495" s="37"/>
      <c r="E495" s="36"/>
      <c r="F495" s="37"/>
      <c r="G495" s="36"/>
      <c r="H495" s="37"/>
      <c r="I495" s="36"/>
      <c r="J495" s="37"/>
      <c r="K495" s="36"/>
      <c r="L495" s="37"/>
      <c r="M495" s="36"/>
      <c r="N495" s="37"/>
      <c r="O495" s="36"/>
      <c r="P495" s="37"/>
      <c r="Q495" s="36"/>
      <c r="R495" s="36"/>
    </row>
    <row r="496" spans="1:18" x14ac:dyDescent="0.25">
      <c r="A496" s="36"/>
      <c r="C496" s="36"/>
      <c r="D496" s="37"/>
      <c r="E496" s="36"/>
      <c r="F496" s="37"/>
      <c r="G496" s="36"/>
      <c r="H496" s="37"/>
      <c r="I496" s="36"/>
      <c r="J496" s="37"/>
      <c r="K496" s="36"/>
      <c r="L496" s="37"/>
      <c r="M496" s="36"/>
      <c r="N496" s="37"/>
      <c r="O496" s="36"/>
      <c r="P496" s="37"/>
      <c r="Q496" s="36"/>
      <c r="R496" s="36"/>
    </row>
    <row r="497" spans="1:18" x14ac:dyDescent="0.25">
      <c r="A497" s="36"/>
      <c r="C497" s="36"/>
      <c r="D497" s="37"/>
      <c r="E497" s="36"/>
      <c r="F497" s="37"/>
      <c r="G497" s="36"/>
      <c r="H497" s="37"/>
      <c r="I497" s="36"/>
      <c r="J497" s="37"/>
      <c r="K497" s="36"/>
      <c r="L497" s="37"/>
      <c r="M497" s="36"/>
      <c r="N497" s="37"/>
      <c r="O497" s="36"/>
      <c r="P497" s="37"/>
      <c r="Q497" s="36"/>
      <c r="R497" s="36"/>
    </row>
    <row r="498" spans="1:18" x14ac:dyDescent="0.25">
      <c r="A498" s="36"/>
      <c r="C498" s="36"/>
      <c r="D498" s="37"/>
      <c r="E498" s="36"/>
      <c r="F498" s="37"/>
      <c r="G498" s="36"/>
      <c r="H498" s="37"/>
      <c r="I498" s="36"/>
      <c r="J498" s="37"/>
      <c r="K498" s="36"/>
      <c r="L498" s="37"/>
      <c r="M498" s="36"/>
      <c r="N498" s="37"/>
      <c r="O498" s="36"/>
      <c r="P498" s="37"/>
      <c r="Q498" s="36"/>
      <c r="R498" s="36"/>
    </row>
    <row r="499" spans="1:18" x14ac:dyDescent="0.25">
      <c r="A499" s="36"/>
      <c r="C499" s="36"/>
      <c r="D499" s="37"/>
      <c r="E499" s="36"/>
      <c r="F499" s="37"/>
      <c r="G499" s="36"/>
      <c r="H499" s="37"/>
      <c r="I499" s="36"/>
      <c r="J499" s="37"/>
      <c r="K499" s="36"/>
      <c r="L499" s="37"/>
      <c r="M499" s="36"/>
      <c r="N499" s="37"/>
      <c r="O499" s="36"/>
      <c r="P499" s="37"/>
      <c r="Q499" s="36"/>
      <c r="R499" s="36"/>
    </row>
    <row r="500" spans="1:18" x14ac:dyDescent="0.25">
      <c r="A500" s="36"/>
      <c r="C500" s="36"/>
      <c r="D500" s="37"/>
      <c r="E500" s="36"/>
      <c r="F500" s="37"/>
      <c r="G500" s="36"/>
      <c r="H500" s="37"/>
      <c r="I500" s="36"/>
      <c r="J500" s="37"/>
      <c r="K500" s="36"/>
      <c r="L500" s="37"/>
      <c r="M500" s="36"/>
      <c r="N500" s="37"/>
      <c r="O500" s="36"/>
      <c r="P500" s="37"/>
      <c r="Q500" s="36"/>
      <c r="R500" s="36"/>
    </row>
    <row r="501" spans="1:18" x14ac:dyDescent="0.25">
      <c r="A501" s="36"/>
      <c r="C501" s="36"/>
      <c r="D501" s="37"/>
      <c r="E501" s="36"/>
      <c r="F501" s="37"/>
      <c r="G501" s="36"/>
      <c r="H501" s="37"/>
      <c r="I501" s="36"/>
      <c r="J501" s="37"/>
      <c r="K501" s="36"/>
      <c r="L501" s="37"/>
      <c r="M501" s="36"/>
      <c r="N501" s="37"/>
      <c r="O501" s="36"/>
      <c r="P501" s="37"/>
      <c r="Q501" s="36"/>
      <c r="R501" s="36"/>
    </row>
    <row r="502" spans="1:18" x14ac:dyDescent="0.25">
      <c r="A502" s="36"/>
      <c r="C502" s="36"/>
      <c r="D502" s="37"/>
      <c r="E502" s="36"/>
      <c r="F502" s="37"/>
      <c r="G502" s="36"/>
      <c r="H502" s="37"/>
      <c r="I502" s="36"/>
      <c r="J502" s="37"/>
      <c r="K502" s="36"/>
      <c r="L502" s="37"/>
      <c r="M502" s="36"/>
      <c r="N502" s="37"/>
      <c r="O502" s="36"/>
      <c r="P502" s="37"/>
      <c r="Q502" s="36"/>
      <c r="R502" s="36"/>
    </row>
    <row r="503" spans="1:18" x14ac:dyDescent="0.25">
      <c r="A503" s="36"/>
      <c r="C503" s="36"/>
      <c r="D503" s="37"/>
      <c r="E503" s="36"/>
      <c r="F503" s="37"/>
      <c r="G503" s="36"/>
      <c r="H503" s="37"/>
      <c r="I503" s="36"/>
      <c r="J503" s="37"/>
      <c r="K503" s="36"/>
      <c r="L503" s="37"/>
      <c r="M503" s="36"/>
      <c r="N503" s="37"/>
      <c r="O503" s="36"/>
      <c r="P503" s="37"/>
      <c r="Q503" s="36"/>
      <c r="R503" s="36"/>
    </row>
    <row r="504" spans="1:18" x14ac:dyDescent="0.25">
      <c r="A504" s="36"/>
      <c r="C504" s="36"/>
      <c r="D504" s="37"/>
      <c r="E504" s="36"/>
      <c r="F504" s="37"/>
      <c r="G504" s="36"/>
      <c r="H504" s="37"/>
      <c r="I504" s="36"/>
      <c r="J504" s="37"/>
      <c r="K504" s="36"/>
      <c r="L504" s="37"/>
      <c r="M504" s="36"/>
      <c r="N504" s="37"/>
      <c r="O504" s="36"/>
      <c r="P504" s="37"/>
      <c r="Q504" s="36"/>
      <c r="R504" s="36"/>
    </row>
    <row r="505" spans="1:18" x14ac:dyDescent="0.25">
      <c r="A505" s="36"/>
      <c r="C505" s="36"/>
      <c r="D505" s="37"/>
      <c r="E505" s="36"/>
      <c r="F505" s="37"/>
      <c r="G505" s="36"/>
      <c r="H505" s="37"/>
      <c r="I505" s="36"/>
      <c r="J505" s="37"/>
      <c r="K505" s="36"/>
      <c r="L505" s="37"/>
      <c r="M505" s="36"/>
      <c r="N505" s="37"/>
      <c r="O505" s="36"/>
      <c r="P505" s="37"/>
      <c r="Q505" s="36"/>
      <c r="R505" s="36"/>
    </row>
    <row r="506" spans="1:18" x14ac:dyDescent="0.25">
      <c r="A506" s="36"/>
      <c r="C506" s="36"/>
      <c r="D506" s="37"/>
      <c r="E506" s="36"/>
      <c r="F506" s="37"/>
      <c r="G506" s="36"/>
      <c r="H506" s="37"/>
      <c r="I506" s="36"/>
      <c r="J506" s="37"/>
      <c r="K506" s="36"/>
      <c r="L506" s="37"/>
      <c r="M506" s="36"/>
      <c r="N506" s="37"/>
      <c r="O506" s="36"/>
      <c r="P506" s="37"/>
      <c r="Q506" s="36"/>
      <c r="R506" s="36"/>
    </row>
    <row r="507" spans="1:18" x14ac:dyDescent="0.25">
      <c r="A507" s="36"/>
      <c r="C507" s="36"/>
      <c r="D507" s="37"/>
      <c r="E507" s="36"/>
      <c r="F507" s="37"/>
      <c r="G507" s="36"/>
      <c r="H507" s="37"/>
      <c r="I507" s="36"/>
      <c r="J507" s="37"/>
      <c r="K507" s="36"/>
      <c r="L507" s="37"/>
      <c r="M507" s="36"/>
      <c r="N507" s="37"/>
      <c r="O507" s="36"/>
      <c r="P507" s="37"/>
      <c r="Q507" s="36"/>
      <c r="R507" s="36"/>
    </row>
    <row r="508" spans="1:18" x14ac:dyDescent="0.25">
      <c r="A508" s="36"/>
      <c r="C508" s="36"/>
      <c r="D508" s="37"/>
      <c r="E508" s="36"/>
      <c r="F508" s="37"/>
      <c r="G508" s="36"/>
      <c r="H508" s="37"/>
      <c r="I508" s="36"/>
      <c r="J508" s="37"/>
      <c r="K508" s="36"/>
      <c r="L508" s="37"/>
      <c r="M508" s="36"/>
      <c r="N508" s="37"/>
      <c r="O508" s="36"/>
      <c r="P508" s="37"/>
      <c r="Q508" s="36"/>
      <c r="R508" s="36"/>
    </row>
    <row r="509" spans="1:18" x14ac:dyDescent="0.25">
      <c r="A509" s="36"/>
      <c r="C509" s="36"/>
      <c r="D509" s="37"/>
      <c r="E509" s="36"/>
      <c r="F509" s="37"/>
      <c r="G509" s="36"/>
      <c r="H509" s="37"/>
      <c r="I509" s="36"/>
      <c r="J509" s="37"/>
      <c r="K509" s="36"/>
      <c r="L509" s="37"/>
      <c r="M509" s="36"/>
      <c r="N509" s="37"/>
      <c r="O509" s="36"/>
      <c r="P509" s="37"/>
      <c r="Q509" s="36"/>
      <c r="R509" s="36"/>
    </row>
    <row r="510" spans="1:18" x14ac:dyDescent="0.25">
      <c r="A510" s="36"/>
      <c r="C510" s="36"/>
      <c r="D510" s="37"/>
      <c r="E510" s="36"/>
      <c r="F510" s="37"/>
      <c r="G510" s="36"/>
      <c r="H510" s="37"/>
      <c r="I510" s="36"/>
      <c r="J510" s="37"/>
      <c r="K510" s="36"/>
      <c r="L510" s="37"/>
      <c r="M510" s="36"/>
      <c r="N510" s="37"/>
      <c r="O510" s="36"/>
      <c r="P510" s="37"/>
      <c r="Q510" s="36"/>
      <c r="R510" s="36"/>
    </row>
    <row r="511" spans="1:18" x14ac:dyDescent="0.25">
      <c r="A511" s="36"/>
      <c r="C511" s="36"/>
      <c r="D511" s="37"/>
      <c r="E511" s="36"/>
      <c r="F511" s="37"/>
      <c r="G511" s="36"/>
      <c r="H511" s="37"/>
      <c r="I511" s="36"/>
      <c r="J511" s="37"/>
      <c r="K511" s="36"/>
      <c r="L511" s="37"/>
      <c r="M511" s="36"/>
      <c r="N511" s="37"/>
      <c r="O511" s="36"/>
      <c r="P511" s="37"/>
      <c r="Q511" s="36"/>
      <c r="R511" s="36"/>
    </row>
    <row r="512" spans="1:18" x14ac:dyDescent="0.25">
      <c r="A512" s="36"/>
      <c r="C512" s="36"/>
      <c r="D512" s="37"/>
      <c r="E512" s="36"/>
      <c r="F512" s="37"/>
      <c r="G512" s="36"/>
      <c r="H512" s="37"/>
      <c r="I512" s="36"/>
      <c r="J512" s="37"/>
      <c r="K512" s="36"/>
      <c r="L512" s="37"/>
      <c r="M512" s="36"/>
      <c r="N512" s="37"/>
      <c r="O512" s="36"/>
      <c r="P512" s="37"/>
      <c r="Q512" s="36"/>
      <c r="R512" s="36"/>
    </row>
    <row r="513" spans="1:18" x14ac:dyDescent="0.25">
      <c r="A513" s="36"/>
      <c r="C513" s="36"/>
      <c r="D513" s="37"/>
      <c r="E513" s="36"/>
      <c r="F513" s="37"/>
      <c r="G513" s="36"/>
      <c r="H513" s="37"/>
      <c r="I513" s="36"/>
      <c r="J513" s="37"/>
      <c r="K513" s="36"/>
      <c r="L513" s="37"/>
      <c r="M513" s="36"/>
      <c r="N513" s="37"/>
      <c r="O513" s="36"/>
      <c r="P513" s="37"/>
      <c r="Q513" s="36"/>
      <c r="R513" s="36"/>
    </row>
    <row r="514" spans="1:18" x14ac:dyDescent="0.25">
      <c r="A514" s="36"/>
      <c r="C514" s="36"/>
      <c r="D514" s="37"/>
      <c r="E514" s="36"/>
      <c r="F514" s="37"/>
      <c r="G514" s="36"/>
      <c r="H514" s="37"/>
      <c r="I514" s="36"/>
      <c r="J514" s="37"/>
      <c r="K514" s="36"/>
      <c r="L514" s="37"/>
      <c r="M514" s="36"/>
      <c r="N514" s="37"/>
      <c r="O514" s="36"/>
      <c r="P514" s="37"/>
      <c r="Q514" s="36"/>
      <c r="R514" s="36"/>
    </row>
    <row r="515" spans="1:18" x14ac:dyDescent="0.25">
      <c r="A515" s="36"/>
      <c r="C515" s="36"/>
      <c r="D515" s="37"/>
      <c r="E515" s="36"/>
      <c r="F515" s="37"/>
      <c r="G515" s="36"/>
      <c r="H515" s="37"/>
      <c r="I515" s="36"/>
      <c r="J515" s="37"/>
      <c r="K515" s="36"/>
      <c r="L515" s="37"/>
      <c r="M515" s="36"/>
      <c r="N515" s="37"/>
      <c r="O515" s="36"/>
      <c r="P515" s="37"/>
      <c r="Q515" s="36"/>
      <c r="R515" s="36"/>
    </row>
    <row r="516" spans="1:18" x14ac:dyDescent="0.25">
      <c r="A516" s="36"/>
      <c r="C516" s="36"/>
      <c r="D516" s="37"/>
      <c r="E516" s="36"/>
      <c r="F516" s="37"/>
      <c r="G516" s="36"/>
      <c r="H516" s="37"/>
      <c r="I516" s="36"/>
      <c r="J516" s="37"/>
      <c r="K516" s="36"/>
      <c r="L516" s="37"/>
      <c r="M516" s="36"/>
      <c r="N516" s="37"/>
      <c r="O516" s="36"/>
      <c r="P516" s="37"/>
      <c r="Q516" s="36"/>
      <c r="R516" s="36"/>
    </row>
    <row r="517" spans="1:18" x14ac:dyDescent="0.25">
      <c r="A517" s="36"/>
      <c r="C517" s="36"/>
      <c r="D517" s="37"/>
      <c r="E517" s="36"/>
      <c r="F517" s="37"/>
      <c r="G517" s="36"/>
      <c r="H517" s="37"/>
      <c r="I517" s="36"/>
      <c r="J517" s="37"/>
      <c r="K517" s="36"/>
      <c r="L517" s="37"/>
      <c r="M517" s="36"/>
      <c r="N517" s="37"/>
      <c r="O517" s="36"/>
      <c r="P517" s="37"/>
      <c r="Q517" s="36"/>
      <c r="R517" s="36"/>
    </row>
    <row r="518" spans="1:18" x14ac:dyDescent="0.25">
      <c r="A518" s="36"/>
      <c r="C518" s="36"/>
      <c r="D518" s="37"/>
      <c r="E518" s="36"/>
      <c r="F518" s="37"/>
      <c r="G518" s="36"/>
      <c r="H518" s="37"/>
      <c r="I518" s="36"/>
      <c r="J518" s="37"/>
      <c r="K518" s="36"/>
      <c r="L518" s="37"/>
      <c r="M518" s="36"/>
      <c r="N518" s="37"/>
      <c r="O518" s="36"/>
      <c r="P518" s="37"/>
      <c r="Q518" s="36"/>
      <c r="R518" s="36"/>
    </row>
    <row r="519" spans="1:18" x14ac:dyDescent="0.25">
      <c r="A519" s="36"/>
      <c r="C519" s="36"/>
      <c r="D519" s="37"/>
      <c r="E519" s="36"/>
      <c r="F519" s="37"/>
      <c r="G519" s="36"/>
      <c r="H519" s="37"/>
      <c r="I519" s="36"/>
      <c r="J519" s="37"/>
      <c r="K519" s="36"/>
      <c r="L519" s="37"/>
      <c r="M519" s="36"/>
      <c r="N519" s="37"/>
      <c r="O519" s="36"/>
      <c r="P519" s="37"/>
      <c r="Q519" s="36"/>
      <c r="R519" s="36"/>
    </row>
    <row r="520" spans="1:18" x14ac:dyDescent="0.25">
      <c r="A520" s="36"/>
      <c r="C520" s="36"/>
      <c r="D520" s="37"/>
      <c r="E520" s="36"/>
      <c r="F520" s="37"/>
      <c r="G520" s="36"/>
      <c r="H520" s="37"/>
      <c r="I520" s="36"/>
      <c r="J520" s="37"/>
      <c r="K520" s="36"/>
      <c r="L520" s="37"/>
      <c r="M520" s="36"/>
      <c r="N520" s="37"/>
      <c r="O520" s="36"/>
      <c r="P520" s="37"/>
      <c r="Q520" s="36"/>
      <c r="R520" s="36"/>
    </row>
    <row r="521" spans="1:18" x14ac:dyDescent="0.25">
      <c r="A521" s="36"/>
      <c r="C521" s="36"/>
      <c r="D521" s="37"/>
      <c r="E521" s="36"/>
      <c r="F521" s="37"/>
      <c r="G521" s="36"/>
      <c r="H521" s="37"/>
      <c r="I521" s="36"/>
      <c r="J521" s="37"/>
      <c r="K521" s="36"/>
      <c r="L521" s="37"/>
      <c r="M521" s="36"/>
      <c r="N521" s="37"/>
      <c r="O521" s="36"/>
      <c r="P521" s="37"/>
      <c r="Q521" s="36"/>
      <c r="R521" s="36"/>
    </row>
    <row r="522" spans="1:18" x14ac:dyDescent="0.25">
      <c r="A522" s="36"/>
      <c r="C522" s="36"/>
      <c r="D522" s="37"/>
      <c r="E522" s="36"/>
      <c r="F522" s="37"/>
      <c r="G522" s="36"/>
      <c r="H522" s="37"/>
      <c r="I522" s="36"/>
      <c r="J522" s="37"/>
      <c r="K522" s="36"/>
      <c r="L522" s="37"/>
      <c r="M522" s="36"/>
      <c r="N522" s="37"/>
      <c r="O522" s="36"/>
      <c r="P522" s="37"/>
      <c r="Q522" s="36"/>
      <c r="R522" s="36"/>
    </row>
    <row r="523" spans="1:18" x14ac:dyDescent="0.25">
      <c r="A523" s="36"/>
      <c r="C523" s="36"/>
      <c r="D523" s="37"/>
      <c r="E523" s="36"/>
      <c r="F523" s="37"/>
      <c r="G523" s="36"/>
      <c r="H523" s="37"/>
      <c r="I523" s="36"/>
      <c r="J523" s="37"/>
      <c r="K523" s="36"/>
      <c r="L523" s="37"/>
      <c r="M523" s="36"/>
      <c r="N523" s="37"/>
      <c r="O523" s="36"/>
      <c r="P523" s="37"/>
      <c r="Q523" s="36"/>
      <c r="R523" s="36"/>
    </row>
    <row r="524" spans="1:18" x14ac:dyDescent="0.25">
      <c r="A524" s="36"/>
      <c r="C524" s="36"/>
      <c r="D524" s="37"/>
      <c r="E524" s="36"/>
      <c r="F524" s="37"/>
      <c r="G524" s="36"/>
      <c r="H524" s="37"/>
      <c r="I524" s="36"/>
      <c r="J524" s="37"/>
      <c r="K524" s="36"/>
      <c r="L524" s="37"/>
      <c r="M524" s="36"/>
      <c r="N524" s="37"/>
      <c r="O524" s="36"/>
      <c r="P524" s="37"/>
      <c r="Q524" s="36"/>
      <c r="R524" s="36"/>
    </row>
    <row r="525" spans="1:18" x14ac:dyDescent="0.25">
      <c r="A525" s="36"/>
      <c r="C525" s="36"/>
      <c r="D525" s="37"/>
      <c r="E525" s="36"/>
      <c r="F525" s="37"/>
      <c r="G525" s="36"/>
      <c r="H525" s="37"/>
      <c r="I525" s="36"/>
      <c r="J525" s="37"/>
      <c r="K525" s="36"/>
      <c r="L525" s="37"/>
      <c r="M525" s="36"/>
      <c r="N525" s="37"/>
      <c r="O525" s="36"/>
      <c r="P525" s="37"/>
      <c r="Q525" s="36"/>
      <c r="R525" s="36"/>
    </row>
    <row r="526" spans="1:18" x14ac:dyDescent="0.25">
      <c r="A526" s="36"/>
      <c r="C526" s="36"/>
      <c r="D526" s="37"/>
      <c r="E526" s="36"/>
      <c r="F526" s="37"/>
      <c r="G526" s="36"/>
      <c r="H526" s="37"/>
      <c r="I526" s="36"/>
      <c r="J526" s="37"/>
      <c r="K526" s="36"/>
      <c r="L526" s="37"/>
      <c r="M526" s="36"/>
      <c r="N526" s="37"/>
      <c r="O526" s="36"/>
      <c r="P526" s="37"/>
      <c r="Q526" s="36"/>
      <c r="R526" s="36"/>
    </row>
    <row r="527" spans="1:18" x14ac:dyDescent="0.25">
      <c r="A527" s="36"/>
      <c r="C527" s="36"/>
      <c r="D527" s="37"/>
      <c r="E527" s="36"/>
      <c r="F527" s="37"/>
      <c r="G527" s="36"/>
      <c r="H527" s="37"/>
      <c r="I527" s="36"/>
      <c r="J527" s="37"/>
      <c r="K527" s="36"/>
      <c r="L527" s="37"/>
      <c r="M527" s="36"/>
      <c r="N527" s="37"/>
      <c r="O527" s="36"/>
      <c r="P527" s="37"/>
      <c r="Q527" s="36"/>
      <c r="R527" s="36"/>
    </row>
    <row r="528" spans="1:18" x14ac:dyDescent="0.25">
      <c r="A528" s="36"/>
      <c r="C528" s="36"/>
      <c r="D528" s="37"/>
      <c r="E528" s="36"/>
      <c r="F528" s="37"/>
      <c r="G528" s="36"/>
      <c r="H528" s="37"/>
      <c r="I528" s="36"/>
      <c r="J528" s="37"/>
      <c r="K528" s="36"/>
      <c r="L528" s="37"/>
      <c r="M528" s="36"/>
      <c r="N528" s="37"/>
      <c r="O528" s="36"/>
      <c r="P528" s="37"/>
      <c r="Q528" s="36"/>
      <c r="R528" s="36"/>
    </row>
    <row r="529" spans="1:18" x14ac:dyDescent="0.25">
      <c r="A529" s="36"/>
      <c r="C529" s="36"/>
      <c r="D529" s="37"/>
      <c r="E529" s="36"/>
      <c r="F529" s="37"/>
      <c r="G529" s="36"/>
      <c r="H529" s="37"/>
      <c r="I529" s="36"/>
      <c r="J529" s="37"/>
      <c r="K529" s="36"/>
      <c r="L529" s="37"/>
      <c r="M529" s="36"/>
      <c r="N529" s="37"/>
      <c r="O529" s="36"/>
      <c r="P529" s="37"/>
      <c r="Q529" s="36"/>
      <c r="R529" s="36"/>
    </row>
    <row r="530" spans="1:18" x14ac:dyDescent="0.25">
      <c r="A530" s="36"/>
      <c r="C530" s="36"/>
      <c r="D530" s="37"/>
      <c r="E530" s="36"/>
      <c r="F530" s="37"/>
      <c r="G530" s="36"/>
      <c r="H530" s="37"/>
      <c r="I530" s="36"/>
      <c r="J530" s="37"/>
      <c r="K530" s="36"/>
      <c r="L530" s="37"/>
      <c r="M530" s="36"/>
      <c r="N530" s="37"/>
      <c r="O530" s="36"/>
      <c r="P530" s="37"/>
      <c r="Q530" s="36"/>
      <c r="R530" s="36"/>
    </row>
    <row r="531" spans="1:18" x14ac:dyDescent="0.25">
      <c r="A531" s="36"/>
      <c r="C531" s="36"/>
      <c r="D531" s="37"/>
      <c r="E531" s="36"/>
      <c r="F531" s="37"/>
      <c r="G531" s="36"/>
      <c r="H531" s="37"/>
      <c r="I531" s="36"/>
      <c r="J531" s="37"/>
      <c r="K531" s="36"/>
      <c r="L531" s="37"/>
      <c r="M531" s="36"/>
      <c r="N531" s="37"/>
      <c r="O531" s="36"/>
      <c r="P531" s="37"/>
      <c r="Q531" s="36"/>
      <c r="R531" s="36"/>
    </row>
    <row r="532" spans="1:18" x14ac:dyDescent="0.25">
      <c r="A532" s="36"/>
      <c r="C532" s="36"/>
      <c r="D532" s="37"/>
      <c r="E532" s="36"/>
      <c r="F532" s="37"/>
      <c r="G532" s="36"/>
      <c r="H532" s="37"/>
      <c r="I532" s="36"/>
      <c r="J532" s="37"/>
      <c r="K532" s="36"/>
      <c r="L532" s="37"/>
      <c r="M532" s="36"/>
      <c r="N532" s="37"/>
      <c r="O532" s="36"/>
      <c r="P532" s="37"/>
      <c r="Q532" s="36"/>
      <c r="R532" s="36"/>
    </row>
    <row r="533" spans="1:18" x14ac:dyDescent="0.25">
      <c r="A533" s="36"/>
      <c r="C533" s="36"/>
      <c r="D533" s="37"/>
      <c r="E533" s="36"/>
      <c r="F533" s="37"/>
      <c r="G533" s="36"/>
      <c r="H533" s="37"/>
      <c r="I533" s="36"/>
      <c r="J533" s="37"/>
      <c r="K533" s="36"/>
      <c r="L533" s="37"/>
      <c r="M533" s="36"/>
      <c r="N533" s="37"/>
      <c r="O533" s="36"/>
      <c r="P533" s="37"/>
      <c r="Q533" s="36"/>
      <c r="R533" s="36"/>
    </row>
    <row r="534" spans="1:18" x14ac:dyDescent="0.25">
      <c r="A534" s="36"/>
      <c r="C534" s="36"/>
      <c r="D534" s="37"/>
      <c r="E534" s="36"/>
      <c r="F534" s="37"/>
      <c r="G534" s="36"/>
      <c r="H534" s="37"/>
      <c r="I534" s="36"/>
      <c r="J534" s="37"/>
      <c r="K534" s="36"/>
      <c r="L534" s="37"/>
      <c r="M534" s="36"/>
      <c r="N534" s="37"/>
      <c r="O534" s="36"/>
      <c r="P534" s="37"/>
      <c r="Q534" s="36"/>
      <c r="R534" s="36"/>
    </row>
    <row r="535" spans="1:18" x14ac:dyDescent="0.25">
      <c r="A535" s="36"/>
      <c r="C535" s="36"/>
      <c r="D535" s="37"/>
      <c r="E535" s="36"/>
      <c r="F535" s="37"/>
      <c r="G535" s="36"/>
      <c r="H535" s="37"/>
      <c r="I535" s="36"/>
      <c r="J535" s="37"/>
      <c r="K535" s="36"/>
      <c r="L535" s="37"/>
      <c r="M535" s="36"/>
      <c r="N535" s="37"/>
      <c r="O535" s="36"/>
      <c r="P535" s="37"/>
      <c r="Q535" s="36"/>
      <c r="R535" s="36"/>
    </row>
    <row r="536" spans="1:18" x14ac:dyDescent="0.25">
      <c r="A536" s="36"/>
      <c r="C536" s="36"/>
      <c r="D536" s="37"/>
      <c r="E536" s="36"/>
      <c r="F536" s="37"/>
      <c r="G536" s="36"/>
      <c r="H536" s="37"/>
      <c r="I536" s="36"/>
      <c r="J536" s="37"/>
      <c r="K536" s="36"/>
      <c r="L536" s="37"/>
      <c r="M536" s="36"/>
      <c r="N536" s="37"/>
      <c r="O536" s="36"/>
      <c r="P536" s="37"/>
      <c r="Q536" s="36"/>
      <c r="R536" s="36"/>
    </row>
    <row r="537" spans="1:18" x14ac:dyDescent="0.25">
      <c r="A537" s="36"/>
      <c r="C537" s="36"/>
      <c r="D537" s="37"/>
      <c r="E537" s="36"/>
      <c r="F537" s="37"/>
      <c r="G537" s="36"/>
      <c r="H537" s="37"/>
      <c r="I537" s="36"/>
      <c r="J537" s="37"/>
      <c r="K537" s="36"/>
      <c r="L537" s="37"/>
      <c r="M537" s="36"/>
      <c r="N537" s="37"/>
      <c r="O537" s="36"/>
      <c r="P537" s="37"/>
      <c r="Q537" s="36"/>
      <c r="R537" s="36"/>
    </row>
    <row r="538" spans="1:18" x14ac:dyDescent="0.25">
      <c r="A538" s="36"/>
      <c r="C538" s="36"/>
      <c r="D538" s="37"/>
      <c r="E538" s="36"/>
      <c r="F538" s="37"/>
      <c r="G538" s="36"/>
      <c r="H538" s="37"/>
      <c r="I538" s="36"/>
      <c r="J538" s="37"/>
      <c r="K538" s="36"/>
      <c r="L538" s="37"/>
      <c r="M538" s="36"/>
      <c r="N538" s="37"/>
      <c r="O538" s="36"/>
      <c r="P538" s="37"/>
      <c r="Q538" s="36"/>
      <c r="R538" s="36"/>
    </row>
    <row r="539" spans="1:18" x14ac:dyDescent="0.25">
      <c r="A539" s="36"/>
      <c r="C539" s="36"/>
      <c r="D539" s="37"/>
      <c r="E539" s="36"/>
      <c r="F539" s="37"/>
      <c r="G539" s="36"/>
      <c r="H539" s="37"/>
      <c r="I539" s="36"/>
      <c r="J539" s="37"/>
      <c r="K539" s="36"/>
      <c r="L539" s="37"/>
      <c r="M539" s="36"/>
      <c r="N539" s="37"/>
      <c r="O539" s="36"/>
      <c r="P539" s="37"/>
      <c r="Q539" s="36"/>
      <c r="R539" s="36"/>
    </row>
    <row r="540" spans="1:18" x14ac:dyDescent="0.25">
      <c r="A540" s="36"/>
      <c r="C540" s="36"/>
      <c r="D540" s="37"/>
      <c r="E540" s="36"/>
      <c r="F540" s="37"/>
      <c r="G540" s="36"/>
      <c r="H540" s="37"/>
      <c r="I540" s="36"/>
      <c r="J540" s="37"/>
      <c r="K540" s="36"/>
      <c r="L540" s="37"/>
      <c r="M540" s="36"/>
      <c r="N540" s="37"/>
      <c r="O540" s="36"/>
      <c r="P540" s="37"/>
      <c r="Q540" s="36"/>
      <c r="R540" s="36"/>
    </row>
    <row r="541" spans="1:18" x14ac:dyDescent="0.25">
      <c r="A541" s="36"/>
      <c r="C541" s="36"/>
      <c r="D541" s="37"/>
      <c r="E541" s="36"/>
      <c r="F541" s="37"/>
      <c r="G541" s="36"/>
      <c r="H541" s="37"/>
      <c r="I541" s="36"/>
      <c r="J541" s="37"/>
      <c r="K541" s="36"/>
      <c r="L541" s="37"/>
      <c r="M541" s="36"/>
      <c r="N541" s="37"/>
      <c r="O541" s="36"/>
      <c r="P541" s="37"/>
      <c r="Q541" s="36"/>
      <c r="R541" s="36"/>
    </row>
    <row r="542" spans="1:18" x14ac:dyDescent="0.25">
      <c r="A542" s="36"/>
      <c r="C542" s="36"/>
      <c r="D542" s="37"/>
      <c r="E542" s="36"/>
      <c r="F542" s="37"/>
      <c r="G542" s="36"/>
      <c r="H542" s="37"/>
      <c r="I542" s="36"/>
      <c r="J542" s="37"/>
      <c r="K542" s="36"/>
      <c r="L542" s="37"/>
      <c r="M542" s="36"/>
      <c r="N542" s="37"/>
      <c r="O542" s="36"/>
      <c r="P542" s="37"/>
      <c r="Q542" s="36"/>
      <c r="R542" s="36"/>
    </row>
    <row r="543" spans="1:18" x14ac:dyDescent="0.25">
      <c r="A543" s="36"/>
      <c r="C543" s="36"/>
      <c r="D543" s="37"/>
      <c r="E543" s="36"/>
      <c r="F543" s="37"/>
      <c r="G543" s="36"/>
      <c r="H543" s="37"/>
      <c r="I543" s="36"/>
      <c r="J543" s="37"/>
      <c r="K543" s="36"/>
      <c r="L543" s="37"/>
      <c r="M543" s="36"/>
      <c r="N543" s="37"/>
      <c r="O543" s="36"/>
      <c r="P543" s="37"/>
      <c r="Q543" s="36"/>
      <c r="R543" s="36"/>
    </row>
    <row r="544" spans="1:18" x14ac:dyDescent="0.25">
      <c r="A544" s="36"/>
      <c r="C544" s="36"/>
      <c r="D544" s="37"/>
      <c r="E544" s="36"/>
      <c r="F544" s="37"/>
      <c r="G544" s="36"/>
      <c r="H544" s="37"/>
      <c r="I544" s="36"/>
      <c r="J544" s="37"/>
      <c r="K544" s="36"/>
      <c r="L544" s="37"/>
      <c r="M544" s="36"/>
      <c r="N544" s="37"/>
      <c r="O544" s="36"/>
      <c r="P544" s="37"/>
      <c r="Q544" s="36"/>
      <c r="R544" s="36"/>
    </row>
    <row r="545" spans="1:18" x14ac:dyDescent="0.25">
      <c r="A545" s="36"/>
      <c r="C545" s="36"/>
      <c r="D545" s="37"/>
      <c r="E545" s="36"/>
      <c r="F545" s="37"/>
      <c r="G545" s="36"/>
      <c r="H545" s="37"/>
      <c r="I545" s="36"/>
      <c r="J545" s="37"/>
      <c r="K545" s="36"/>
      <c r="L545" s="37"/>
      <c r="M545" s="36"/>
      <c r="N545" s="37"/>
      <c r="O545" s="36"/>
      <c r="P545" s="37"/>
      <c r="Q545" s="36"/>
      <c r="R545" s="36"/>
    </row>
    <row r="546" spans="1:18" x14ac:dyDescent="0.25">
      <c r="A546" s="36"/>
      <c r="C546" s="36"/>
      <c r="D546" s="37"/>
      <c r="E546" s="36"/>
      <c r="F546" s="37"/>
      <c r="G546" s="36"/>
      <c r="H546" s="37"/>
      <c r="I546" s="36"/>
      <c r="J546" s="37"/>
      <c r="K546" s="36"/>
      <c r="L546" s="37"/>
      <c r="M546" s="36"/>
      <c r="N546" s="37"/>
      <c r="O546" s="36"/>
      <c r="P546" s="37"/>
      <c r="Q546" s="36"/>
      <c r="R546" s="36"/>
    </row>
    <row r="547" spans="1:18" x14ac:dyDescent="0.25">
      <c r="A547" s="36"/>
      <c r="C547" s="36"/>
      <c r="D547" s="37"/>
      <c r="E547" s="36"/>
      <c r="F547" s="37"/>
      <c r="G547" s="36"/>
      <c r="H547" s="37"/>
      <c r="I547" s="36"/>
      <c r="J547" s="37"/>
      <c r="K547" s="36"/>
      <c r="L547" s="37"/>
      <c r="M547" s="36"/>
      <c r="N547" s="37"/>
      <c r="O547" s="36"/>
      <c r="P547" s="37"/>
      <c r="Q547" s="36"/>
      <c r="R547" s="36"/>
    </row>
    <row r="548" spans="1:18" x14ac:dyDescent="0.25">
      <c r="A548" s="36"/>
      <c r="C548" s="36"/>
      <c r="D548" s="37"/>
      <c r="E548" s="36"/>
      <c r="F548" s="37"/>
      <c r="G548" s="36"/>
      <c r="H548" s="37"/>
      <c r="I548" s="36"/>
      <c r="J548" s="37"/>
      <c r="K548" s="36"/>
      <c r="L548" s="37"/>
      <c r="M548" s="36"/>
      <c r="N548" s="37"/>
      <c r="O548" s="36"/>
      <c r="P548" s="37"/>
      <c r="Q548" s="36"/>
      <c r="R548" s="36"/>
    </row>
    <row r="549" spans="1:18" x14ac:dyDescent="0.25">
      <c r="A549" s="36"/>
      <c r="C549" s="36"/>
      <c r="D549" s="37"/>
      <c r="E549" s="36"/>
      <c r="F549" s="37"/>
      <c r="G549" s="36"/>
      <c r="H549" s="37"/>
      <c r="I549" s="36"/>
      <c r="J549" s="37"/>
      <c r="K549" s="36"/>
      <c r="L549" s="37"/>
      <c r="M549" s="36"/>
      <c r="N549" s="37"/>
      <c r="O549" s="36"/>
      <c r="P549" s="37"/>
      <c r="Q549" s="36"/>
      <c r="R549" s="36"/>
    </row>
    <row r="550" spans="1:18" x14ac:dyDescent="0.25">
      <c r="A550" s="36"/>
      <c r="C550" s="36"/>
      <c r="D550" s="37"/>
      <c r="E550" s="36"/>
      <c r="F550" s="37"/>
      <c r="G550" s="36"/>
      <c r="H550" s="37"/>
      <c r="I550" s="36"/>
      <c r="J550" s="37"/>
      <c r="K550" s="36"/>
      <c r="L550" s="37"/>
      <c r="M550" s="36"/>
      <c r="N550" s="37"/>
      <c r="O550" s="36"/>
      <c r="P550" s="37"/>
      <c r="Q550" s="36"/>
      <c r="R550" s="36"/>
    </row>
    <row r="551" spans="1:18" x14ac:dyDescent="0.25">
      <c r="A551" s="36"/>
      <c r="C551" s="36"/>
      <c r="D551" s="37"/>
      <c r="E551" s="36"/>
      <c r="F551" s="37"/>
      <c r="G551" s="36"/>
      <c r="H551" s="37"/>
      <c r="I551" s="36"/>
      <c r="J551" s="37"/>
      <c r="K551" s="36"/>
      <c r="L551" s="37"/>
      <c r="M551" s="36"/>
      <c r="N551" s="37"/>
      <c r="O551" s="36"/>
      <c r="P551" s="37"/>
      <c r="Q551" s="36"/>
      <c r="R551" s="36"/>
    </row>
    <row r="552" spans="1:18" x14ac:dyDescent="0.25">
      <c r="A552" s="36"/>
      <c r="C552" s="36"/>
      <c r="D552" s="37"/>
      <c r="E552" s="36"/>
      <c r="F552" s="37"/>
      <c r="G552" s="36"/>
      <c r="H552" s="37"/>
      <c r="I552" s="36"/>
      <c r="J552" s="37"/>
      <c r="K552" s="36"/>
      <c r="L552" s="37"/>
      <c r="M552" s="36"/>
      <c r="N552" s="37"/>
      <c r="O552" s="36"/>
      <c r="P552" s="37"/>
      <c r="Q552" s="36"/>
      <c r="R552" s="36"/>
    </row>
    <row r="553" spans="1:18" x14ac:dyDescent="0.25">
      <c r="A553" s="36"/>
      <c r="C553" s="36"/>
      <c r="D553" s="37"/>
      <c r="E553" s="36"/>
      <c r="F553" s="37"/>
      <c r="G553" s="36"/>
      <c r="H553" s="37"/>
      <c r="I553" s="36"/>
      <c r="J553" s="37"/>
      <c r="K553" s="36"/>
      <c r="L553" s="37"/>
      <c r="M553" s="36"/>
      <c r="N553" s="37"/>
      <c r="O553" s="36"/>
      <c r="P553" s="37"/>
      <c r="Q553" s="36"/>
      <c r="R553" s="36"/>
    </row>
    <row r="554" spans="1:18" x14ac:dyDescent="0.25">
      <c r="A554" s="36"/>
      <c r="C554" s="36"/>
      <c r="D554" s="37"/>
      <c r="E554" s="36"/>
      <c r="F554" s="37"/>
      <c r="G554" s="36"/>
      <c r="H554" s="37"/>
      <c r="I554" s="36"/>
      <c r="J554" s="37"/>
      <c r="K554" s="36"/>
      <c r="L554" s="37"/>
      <c r="M554" s="36"/>
      <c r="N554" s="37"/>
      <c r="O554" s="36"/>
      <c r="P554" s="37"/>
      <c r="Q554" s="36"/>
      <c r="R554" s="36"/>
    </row>
    <row r="555" spans="1:18" x14ac:dyDescent="0.25">
      <c r="A555" s="36"/>
      <c r="C555" s="36"/>
      <c r="D555" s="37"/>
      <c r="E555" s="36"/>
      <c r="F555" s="37"/>
      <c r="G555" s="36"/>
      <c r="H555" s="37"/>
      <c r="I555" s="36"/>
      <c r="J555" s="37"/>
      <c r="K555" s="36"/>
      <c r="L555" s="37"/>
      <c r="M555" s="36"/>
      <c r="N555" s="37"/>
      <c r="O555" s="36"/>
      <c r="P555" s="37"/>
      <c r="Q555" s="36"/>
      <c r="R555" s="36"/>
    </row>
    <row r="556" spans="1:18" x14ac:dyDescent="0.25">
      <c r="A556" s="36"/>
      <c r="C556" s="36"/>
      <c r="D556" s="37"/>
      <c r="E556" s="36"/>
      <c r="F556" s="37"/>
      <c r="G556" s="36"/>
      <c r="H556" s="37"/>
      <c r="I556" s="36"/>
      <c r="J556" s="37"/>
      <c r="K556" s="36"/>
      <c r="L556" s="37"/>
      <c r="M556" s="36"/>
      <c r="N556" s="37"/>
      <c r="O556" s="36"/>
      <c r="P556" s="37"/>
      <c r="Q556" s="36"/>
      <c r="R556" s="36"/>
    </row>
    <row r="557" spans="1:18" x14ac:dyDescent="0.25">
      <c r="A557" s="36"/>
      <c r="C557" s="36"/>
      <c r="D557" s="37"/>
      <c r="E557" s="36"/>
      <c r="F557" s="37"/>
      <c r="G557" s="36"/>
      <c r="H557" s="37"/>
      <c r="I557" s="36"/>
      <c r="J557" s="37"/>
      <c r="K557" s="36"/>
      <c r="L557" s="37"/>
      <c r="M557" s="36"/>
      <c r="N557" s="37"/>
      <c r="O557" s="36"/>
      <c r="P557" s="37"/>
      <c r="Q557" s="36"/>
      <c r="R557" s="36"/>
    </row>
    <row r="558" spans="1:18" x14ac:dyDescent="0.25">
      <c r="A558" s="36"/>
      <c r="C558" s="36"/>
      <c r="D558" s="37"/>
      <c r="E558" s="36"/>
      <c r="F558" s="37"/>
      <c r="G558" s="36"/>
      <c r="H558" s="37"/>
      <c r="I558" s="36"/>
      <c r="J558" s="37"/>
      <c r="K558" s="36"/>
      <c r="L558" s="37"/>
      <c r="M558" s="36"/>
      <c r="N558" s="37"/>
      <c r="O558" s="36"/>
      <c r="P558" s="37"/>
      <c r="Q558" s="36"/>
      <c r="R558" s="36"/>
    </row>
    <row r="559" spans="1:18" x14ac:dyDescent="0.25">
      <c r="A559" s="36"/>
      <c r="C559" s="36"/>
      <c r="D559" s="37"/>
      <c r="E559" s="36"/>
      <c r="F559" s="37"/>
      <c r="G559" s="36"/>
      <c r="H559" s="37"/>
      <c r="I559" s="36"/>
      <c r="J559" s="37"/>
      <c r="K559" s="36"/>
      <c r="L559" s="37"/>
      <c r="M559" s="36"/>
      <c r="N559" s="37"/>
      <c r="O559" s="36"/>
      <c r="P559" s="37"/>
      <c r="Q559" s="36"/>
      <c r="R559" s="36"/>
    </row>
    <row r="560" spans="1:18" x14ac:dyDescent="0.25">
      <c r="A560" s="36"/>
      <c r="C560" s="36"/>
      <c r="D560" s="37"/>
      <c r="E560" s="36"/>
      <c r="F560" s="37"/>
      <c r="G560" s="36"/>
      <c r="H560" s="37"/>
      <c r="I560" s="36"/>
      <c r="J560" s="37"/>
      <c r="K560" s="36"/>
      <c r="L560" s="37"/>
      <c r="M560" s="36"/>
      <c r="N560" s="37"/>
      <c r="O560" s="36"/>
      <c r="P560" s="37"/>
      <c r="Q560" s="36"/>
      <c r="R560" s="36"/>
    </row>
    <row r="561" spans="1:18" x14ac:dyDescent="0.25">
      <c r="A561" s="36"/>
      <c r="C561" s="36"/>
      <c r="D561" s="37"/>
      <c r="E561" s="36"/>
      <c r="F561" s="37"/>
      <c r="G561" s="36"/>
      <c r="H561" s="37"/>
      <c r="I561" s="36"/>
      <c r="J561" s="37"/>
      <c r="K561" s="36"/>
      <c r="L561" s="37"/>
      <c r="M561" s="36"/>
      <c r="N561" s="37"/>
      <c r="O561" s="36"/>
      <c r="P561" s="37"/>
      <c r="Q561" s="36"/>
      <c r="R561" s="36"/>
    </row>
    <row r="562" spans="1:18" x14ac:dyDescent="0.25">
      <c r="A562" s="36"/>
      <c r="C562" s="36"/>
      <c r="D562" s="37"/>
      <c r="E562" s="36"/>
      <c r="F562" s="37"/>
      <c r="G562" s="36"/>
      <c r="H562" s="37"/>
      <c r="I562" s="36"/>
      <c r="J562" s="37"/>
      <c r="K562" s="36"/>
      <c r="L562" s="37"/>
      <c r="M562" s="36"/>
      <c r="N562" s="37"/>
      <c r="O562" s="36"/>
      <c r="P562" s="37"/>
      <c r="Q562" s="36"/>
      <c r="R562" s="36"/>
    </row>
    <row r="563" spans="1:18" x14ac:dyDescent="0.25">
      <c r="A563" s="36"/>
      <c r="C563" s="36"/>
      <c r="D563" s="37"/>
      <c r="E563" s="36"/>
      <c r="F563" s="37"/>
      <c r="G563" s="36"/>
      <c r="H563" s="37"/>
      <c r="I563" s="36"/>
      <c r="J563" s="37"/>
      <c r="K563" s="36"/>
      <c r="L563" s="37"/>
      <c r="M563" s="36"/>
      <c r="N563" s="37"/>
      <c r="O563" s="36"/>
      <c r="P563" s="37"/>
      <c r="Q563" s="36"/>
      <c r="R563" s="36"/>
    </row>
    <row r="564" spans="1:18" x14ac:dyDescent="0.25">
      <c r="A564" s="36"/>
      <c r="C564" s="36"/>
      <c r="D564" s="37"/>
      <c r="E564" s="36"/>
      <c r="F564" s="37"/>
      <c r="G564" s="36"/>
      <c r="H564" s="37"/>
      <c r="I564" s="36"/>
      <c r="J564" s="37"/>
      <c r="K564" s="36"/>
      <c r="L564" s="37"/>
      <c r="M564" s="36"/>
      <c r="N564" s="37"/>
      <c r="O564" s="36"/>
      <c r="P564" s="37"/>
      <c r="Q564" s="36"/>
      <c r="R564" s="36"/>
    </row>
    <row r="565" spans="1:18" x14ac:dyDescent="0.25">
      <c r="A565" s="36"/>
      <c r="C565" s="36"/>
      <c r="D565" s="37"/>
      <c r="E565" s="36"/>
      <c r="F565" s="37"/>
      <c r="G565" s="36"/>
      <c r="H565" s="37"/>
      <c r="I565" s="36"/>
      <c r="J565" s="37"/>
      <c r="K565" s="36"/>
      <c r="L565" s="37"/>
      <c r="M565" s="36"/>
      <c r="N565" s="37"/>
      <c r="O565" s="36"/>
      <c r="P565" s="37"/>
      <c r="Q565" s="36"/>
      <c r="R565" s="36"/>
    </row>
    <row r="566" spans="1:18" x14ac:dyDescent="0.25">
      <c r="A566" s="36"/>
      <c r="C566" s="36"/>
      <c r="D566" s="37"/>
      <c r="E566" s="36"/>
      <c r="F566" s="37"/>
      <c r="G566" s="36"/>
      <c r="H566" s="37"/>
      <c r="I566" s="36"/>
      <c r="J566" s="37"/>
      <c r="K566" s="36"/>
      <c r="L566" s="37"/>
      <c r="M566" s="36"/>
      <c r="N566" s="37"/>
      <c r="O566" s="36"/>
      <c r="P566" s="37"/>
      <c r="Q566" s="36"/>
      <c r="R566" s="36"/>
    </row>
    <row r="567" spans="1:18" x14ac:dyDescent="0.25">
      <c r="A567" s="36"/>
      <c r="C567" s="36"/>
      <c r="D567" s="37"/>
      <c r="E567" s="36"/>
      <c r="F567" s="37"/>
      <c r="G567" s="36"/>
      <c r="H567" s="37"/>
      <c r="I567" s="36"/>
      <c r="J567" s="37"/>
      <c r="K567" s="36"/>
      <c r="L567" s="37"/>
      <c r="M567" s="36"/>
      <c r="N567" s="37"/>
      <c r="O567" s="36"/>
      <c r="P567" s="37"/>
      <c r="Q567" s="36"/>
      <c r="R567" s="36"/>
    </row>
    <row r="568" spans="1:18" x14ac:dyDescent="0.25">
      <c r="A568" s="36"/>
      <c r="C568" s="36"/>
      <c r="D568" s="37"/>
      <c r="E568" s="36"/>
      <c r="F568" s="37"/>
      <c r="G568" s="36"/>
      <c r="H568" s="37"/>
      <c r="I568" s="36"/>
      <c r="J568" s="37"/>
      <c r="K568" s="36"/>
      <c r="L568" s="37"/>
      <c r="M568" s="36"/>
      <c r="N568" s="37"/>
      <c r="O568" s="36"/>
      <c r="P568" s="37"/>
      <c r="Q568" s="36"/>
      <c r="R568" s="36"/>
    </row>
    <row r="569" spans="1:18" x14ac:dyDescent="0.25">
      <c r="A569" s="36"/>
      <c r="C569" s="36"/>
      <c r="D569" s="37"/>
      <c r="E569" s="36"/>
      <c r="F569" s="37"/>
      <c r="G569" s="36"/>
      <c r="H569" s="37"/>
      <c r="I569" s="36"/>
      <c r="J569" s="37"/>
      <c r="K569" s="36"/>
      <c r="L569" s="37"/>
      <c r="M569" s="36"/>
      <c r="N569" s="37"/>
      <c r="O569" s="36"/>
      <c r="P569" s="37"/>
      <c r="Q569" s="36"/>
      <c r="R569" s="36"/>
    </row>
    <row r="570" spans="1:18" x14ac:dyDescent="0.25">
      <c r="A570" s="36"/>
      <c r="C570" s="36"/>
      <c r="D570" s="37"/>
      <c r="E570" s="36"/>
      <c r="F570" s="37"/>
      <c r="G570" s="36"/>
      <c r="H570" s="37"/>
      <c r="I570" s="36"/>
      <c r="J570" s="37"/>
      <c r="K570" s="36"/>
      <c r="L570" s="37"/>
      <c r="M570" s="36"/>
      <c r="N570" s="37"/>
      <c r="O570" s="36"/>
      <c r="P570" s="37"/>
      <c r="Q570" s="36"/>
      <c r="R570" s="36"/>
    </row>
    <row r="571" spans="1:18" x14ac:dyDescent="0.25">
      <c r="A571" s="36"/>
      <c r="C571" s="36"/>
      <c r="D571" s="37"/>
      <c r="E571" s="36"/>
      <c r="F571" s="37"/>
      <c r="G571" s="36"/>
      <c r="H571" s="37"/>
      <c r="I571" s="36"/>
      <c r="J571" s="37"/>
      <c r="K571" s="36"/>
      <c r="L571" s="37"/>
      <c r="M571" s="36"/>
      <c r="N571" s="37"/>
      <c r="O571" s="36"/>
      <c r="P571" s="37"/>
      <c r="Q571" s="36"/>
      <c r="R571" s="36"/>
    </row>
    <row r="572" spans="1:18" x14ac:dyDescent="0.25">
      <c r="A572" s="36"/>
      <c r="C572" s="36"/>
      <c r="D572" s="37"/>
      <c r="E572" s="36"/>
      <c r="F572" s="37"/>
      <c r="G572" s="36"/>
      <c r="H572" s="37"/>
      <c r="I572" s="36"/>
      <c r="J572" s="37"/>
      <c r="K572" s="36"/>
      <c r="L572" s="37"/>
      <c r="M572" s="36"/>
      <c r="N572" s="37"/>
      <c r="O572" s="36"/>
      <c r="P572" s="37"/>
      <c r="Q572" s="36"/>
      <c r="R572" s="36"/>
    </row>
    <row r="573" spans="1:18" x14ac:dyDescent="0.25">
      <c r="A573" s="36"/>
      <c r="C573" s="36"/>
      <c r="D573" s="37"/>
      <c r="E573" s="36"/>
      <c r="F573" s="37"/>
      <c r="G573" s="36"/>
      <c r="H573" s="37"/>
      <c r="I573" s="36"/>
      <c r="J573" s="37"/>
      <c r="K573" s="36"/>
      <c r="L573" s="37"/>
      <c r="M573" s="36"/>
      <c r="N573" s="37"/>
      <c r="O573" s="36"/>
      <c r="P573" s="37"/>
      <c r="Q573" s="36"/>
      <c r="R573" s="36"/>
    </row>
    <row r="574" spans="1:18" x14ac:dyDescent="0.25">
      <c r="A574" s="36"/>
      <c r="C574" s="36"/>
      <c r="D574" s="37"/>
      <c r="E574" s="36"/>
      <c r="F574" s="37"/>
      <c r="G574" s="36"/>
      <c r="H574" s="37"/>
      <c r="I574" s="36"/>
      <c r="J574" s="37"/>
      <c r="K574" s="36"/>
      <c r="L574" s="37"/>
      <c r="M574" s="36"/>
      <c r="N574" s="37"/>
      <c r="O574" s="36"/>
      <c r="P574" s="37"/>
      <c r="Q574" s="36"/>
      <c r="R574" s="36"/>
    </row>
    <row r="575" spans="1:18" x14ac:dyDescent="0.25">
      <c r="A575" s="36"/>
      <c r="C575" s="36"/>
      <c r="D575" s="37"/>
      <c r="E575" s="36"/>
      <c r="F575" s="37"/>
      <c r="G575" s="36"/>
      <c r="H575" s="37"/>
      <c r="I575" s="36"/>
      <c r="J575" s="37"/>
      <c r="K575" s="36"/>
      <c r="L575" s="37"/>
      <c r="M575" s="36"/>
      <c r="N575" s="37"/>
      <c r="O575" s="36"/>
      <c r="P575" s="37"/>
      <c r="Q575" s="36"/>
      <c r="R575" s="36"/>
    </row>
    <row r="576" spans="1:18" x14ac:dyDescent="0.25">
      <c r="A576" s="36"/>
      <c r="C576" s="36"/>
      <c r="D576" s="37"/>
      <c r="E576" s="36"/>
      <c r="F576" s="37"/>
      <c r="G576" s="36"/>
      <c r="H576" s="37"/>
      <c r="I576" s="36"/>
      <c r="J576" s="37"/>
      <c r="K576" s="36"/>
      <c r="L576" s="37"/>
      <c r="M576" s="36"/>
      <c r="N576" s="37"/>
      <c r="O576" s="36"/>
      <c r="P576" s="37"/>
      <c r="Q576" s="36"/>
      <c r="R576" s="36"/>
    </row>
    <row r="577" spans="1:18" x14ac:dyDescent="0.25">
      <c r="A577" s="36"/>
      <c r="C577" s="36"/>
      <c r="D577" s="37"/>
      <c r="E577" s="36"/>
      <c r="F577" s="37"/>
      <c r="G577" s="36"/>
      <c r="H577" s="37"/>
      <c r="I577" s="36"/>
      <c r="J577" s="37"/>
      <c r="K577" s="36"/>
      <c r="L577" s="37"/>
      <c r="M577" s="36"/>
      <c r="N577" s="37"/>
      <c r="O577" s="36"/>
      <c r="P577" s="37"/>
      <c r="Q577" s="36"/>
      <c r="R577" s="36"/>
    </row>
    <row r="578" spans="1:18" x14ac:dyDescent="0.25">
      <c r="A578" s="36"/>
      <c r="C578" s="36"/>
      <c r="D578" s="37"/>
      <c r="E578" s="36"/>
      <c r="F578" s="37"/>
      <c r="G578" s="36"/>
      <c r="H578" s="37"/>
      <c r="I578" s="36"/>
      <c r="J578" s="37"/>
      <c r="K578" s="36"/>
      <c r="L578" s="37"/>
      <c r="M578" s="36"/>
      <c r="N578" s="37"/>
      <c r="O578" s="36"/>
      <c r="P578" s="37"/>
      <c r="Q578" s="36"/>
      <c r="R578" s="36"/>
    </row>
    <row r="579" spans="1:18" x14ac:dyDescent="0.25">
      <c r="A579" s="36"/>
      <c r="C579" s="36"/>
      <c r="D579" s="37"/>
      <c r="E579" s="36"/>
      <c r="F579" s="37"/>
      <c r="G579" s="36"/>
      <c r="H579" s="37"/>
      <c r="I579" s="36"/>
      <c r="J579" s="37"/>
      <c r="K579" s="36"/>
      <c r="L579" s="37"/>
      <c r="M579" s="36"/>
      <c r="N579" s="37"/>
      <c r="O579" s="36"/>
      <c r="P579" s="37"/>
      <c r="Q579" s="36"/>
      <c r="R579" s="36"/>
    </row>
    <row r="580" spans="1:18" x14ac:dyDescent="0.25">
      <c r="A580" s="36"/>
      <c r="C580" s="36"/>
      <c r="D580" s="37"/>
      <c r="E580" s="36"/>
      <c r="F580" s="37"/>
      <c r="G580" s="36"/>
      <c r="H580" s="37"/>
      <c r="I580" s="36"/>
      <c r="J580" s="37"/>
      <c r="K580" s="36"/>
      <c r="L580" s="37"/>
      <c r="M580" s="36"/>
      <c r="N580" s="37"/>
      <c r="O580" s="36"/>
      <c r="P580" s="37"/>
      <c r="Q580" s="36"/>
      <c r="R580" s="36"/>
    </row>
    <row r="581" spans="1:18" x14ac:dyDescent="0.25">
      <c r="A581" s="36"/>
      <c r="C581" s="36"/>
      <c r="D581" s="37"/>
      <c r="E581" s="36"/>
      <c r="F581" s="37"/>
      <c r="G581" s="36"/>
      <c r="H581" s="37"/>
      <c r="I581" s="36"/>
      <c r="J581" s="37"/>
      <c r="K581" s="36"/>
      <c r="L581" s="37"/>
      <c r="M581" s="36"/>
      <c r="N581" s="37"/>
      <c r="O581" s="36"/>
      <c r="P581" s="37"/>
      <c r="Q581" s="36"/>
      <c r="R581" s="36"/>
    </row>
    <row r="582" spans="1:18" x14ac:dyDescent="0.25">
      <c r="A582" s="36"/>
      <c r="C582" s="36"/>
      <c r="D582" s="37"/>
      <c r="E582" s="36"/>
      <c r="F582" s="37"/>
      <c r="G582" s="36"/>
      <c r="H582" s="37"/>
      <c r="I582" s="36"/>
      <c r="J582" s="37"/>
      <c r="K582" s="36"/>
      <c r="L582" s="37"/>
      <c r="M582" s="36"/>
      <c r="N582" s="37"/>
      <c r="O582" s="36"/>
      <c r="P582" s="37"/>
      <c r="Q582" s="36"/>
      <c r="R582" s="36"/>
    </row>
    <row r="583" spans="1:18" x14ac:dyDescent="0.25">
      <c r="A583" s="36"/>
      <c r="C583" s="36"/>
      <c r="D583" s="37"/>
      <c r="E583" s="36"/>
      <c r="F583" s="37"/>
      <c r="G583" s="36"/>
      <c r="H583" s="37"/>
      <c r="I583" s="36"/>
      <c r="J583" s="37"/>
      <c r="K583" s="36"/>
      <c r="L583" s="37"/>
      <c r="M583" s="36"/>
      <c r="N583" s="37"/>
      <c r="O583" s="36"/>
      <c r="P583" s="37"/>
      <c r="Q583" s="36"/>
      <c r="R583" s="36"/>
    </row>
    <row r="584" spans="1:18" x14ac:dyDescent="0.25">
      <c r="A584" s="36"/>
      <c r="C584" s="36"/>
      <c r="D584" s="37"/>
      <c r="E584" s="36"/>
      <c r="F584" s="37"/>
      <c r="G584" s="36"/>
      <c r="H584" s="37"/>
      <c r="I584" s="36"/>
      <c r="J584" s="37"/>
      <c r="K584" s="36"/>
      <c r="L584" s="37"/>
      <c r="M584" s="36"/>
      <c r="N584" s="37"/>
      <c r="O584" s="36"/>
      <c r="P584" s="37"/>
      <c r="Q584" s="36"/>
      <c r="R584" s="36"/>
    </row>
    <row r="585" spans="1:18" x14ac:dyDescent="0.25">
      <c r="A585" s="36"/>
      <c r="C585" s="36"/>
      <c r="D585" s="37"/>
      <c r="E585" s="36"/>
      <c r="F585" s="37"/>
      <c r="G585" s="36"/>
      <c r="H585" s="37"/>
      <c r="I585" s="36"/>
      <c r="J585" s="37"/>
      <c r="K585" s="36"/>
      <c r="L585" s="37"/>
      <c r="M585" s="36"/>
      <c r="N585" s="37"/>
      <c r="O585" s="36"/>
      <c r="P585" s="37"/>
      <c r="Q585" s="36"/>
      <c r="R585" s="36"/>
    </row>
    <row r="586" spans="1:18" x14ac:dyDescent="0.25">
      <c r="A586" s="36"/>
      <c r="C586" s="36"/>
      <c r="D586" s="37"/>
      <c r="E586" s="36"/>
      <c r="F586" s="37"/>
      <c r="G586" s="36"/>
      <c r="H586" s="37"/>
      <c r="I586" s="36"/>
      <c r="J586" s="37"/>
      <c r="K586" s="36"/>
      <c r="L586" s="37"/>
      <c r="M586" s="36"/>
      <c r="N586" s="37"/>
      <c r="O586" s="36"/>
      <c r="P586" s="37"/>
      <c r="Q586" s="36"/>
      <c r="R586" s="36"/>
    </row>
    <row r="587" spans="1:18" x14ac:dyDescent="0.25">
      <c r="A587" s="36"/>
      <c r="C587" s="36"/>
      <c r="D587" s="37"/>
      <c r="E587" s="36"/>
      <c r="F587" s="37"/>
      <c r="G587" s="36"/>
      <c r="H587" s="37"/>
      <c r="I587" s="36"/>
      <c r="J587" s="37"/>
      <c r="K587" s="36"/>
      <c r="L587" s="37"/>
      <c r="M587" s="36"/>
      <c r="N587" s="37"/>
      <c r="O587" s="36"/>
      <c r="P587" s="37"/>
      <c r="Q587" s="36"/>
      <c r="R587" s="36"/>
    </row>
    <row r="588" spans="1:18" x14ac:dyDescent="0.25">
      <c r="A588" s="36"/>
      <c r="C588" s="36"/>
      <c r="D588" s="37"/>
      <c r="E588" s="36"/>
      <c r="F588" s="37"/>
      <c r="G588" s="36"/>
      <c r="H588" s="37"/>
      <c r="I588" s="36"/>
      <c r="J588" s="37"/>
      <c r="K588" s="36"/>
      <c r="L588" s="37"/>
      <c r="M588" s="36"/>
      <c r="N588" s="37"/>
      <c r="O588" s="36"/>
      <c r="P588" s="37"/>
      <c r="Q588" s="36"/>
      <c r="R588" s="36"/>
    </row>
    <row r="589" spans="1:18" x14ac:dyDescent="0.25">
      <c r="A589" s="36"/>
      <c r="C589" s="36"/>
      <c r="D589" s="37"/>
      <c r="E589" s="36"/>
      <c r="F589" s="37"/>
      <c r="G589" s="36"/>
      <c r="H589" s="37"/>
      <c r="I589" s="36"/>
      <c r="J589" s="37"/>
      <c r="K589" s="36"/>
      <c r="L589" s="37"/>
      <c r="M589" s="36"/>
      <c r="N589" s="37"/>
      <c r="O589" s="36"/>
      <c r="P589" s="37"/>
      <c r="Q589" s="36"/>
      <c r="R589" s="36"/>
    </row>
    <row r="590" spans="1:18" x14ac:dyDescent="0.25">
      <c r="A590" s="36"/>
      <c r="C590" s="36"/>
      <c r="D590" s="37"/>
      <c r="E590" s="36"/>
      <c r="F590" s="37"/>
      <c r="G590" s="36"/>
      <c r="H590" s="37"/>
      <c r="I590" s="36"/>
      <c r="J590" s="37"/>
      <c r="K590" s="36"/>
      <c r="L590" s="37"/>
      <c r="M590" s="36"/>
      <c r="N590" s="37"/>
      <c r="O590" s="36"/>
      <c r="P590" s="37"/>
      <c r="Q590" s="36"/>
      <c r="R590" s="36"/>
    </row>
    <row r="591" spans="1:18" x14ac:dyDescent="0.25">
      <c r="A591" s="36"/>
      <c r="C591" s="36"/>
      <c r="D591" s="37"/>
      <c r="E591" s="36"/>
      <c r="F591" s="37"/>
      <c r="G591" s="36"/>
      <c r="H591" s="37"/>
      <c r="I591" s="36"/>
      <c r="J591" s="37"/>
      <c r="K591" s="36"/>
      <c r="L591" s="37"/>
      <c r="M591" s="36"/>
      <c r="N591" s="37"/>
      <c r="O591" s="36"/>
      <c r="P591" s="37"/>
      <c r="Q591" s="36"/>
      <c r="R591" s="36"/>
    </row>
    <row r="592" spans="1:18" x14ac:dyDescent="0.25">
      <c r="A592" s="36"/>
      <c r="C592" s="36"/>
      <c r="D592" s="37"/>
      <c r="E592" s="36"/>
      <c r="F592" s="37"/>
      <c r="G592" s="36"/>
      <c r="H592" s="37"/>
      <c r="I592" s="36"/>
      <c r="J592" s="37"/>
      <c r="K592" s="36"/>
      <c r="L592" s="37"/>
      <c r="M592" s="36"/>
      <c r="N592" s="37"/>
      <c r="O592" s="36"/>
      <c r="P592" s="37"/>
      <c r="Q592" s="36"/>
      <c r="R592" s="36"/>
    </row>
    <row r="593" spans="1:18" x14ac:dyDescent="0.25">
      <c r="A593" s="36"/>
      <c r="C593" s="36"/>
      <c r="D593" s="37"/>
      <c r="E593" s="36"/>
      <c r="F593" s="37"/>
      <c r="G593" s="36"/>
      <c r="H593" s="37"/>
      <c r="I593" s="36"/>
      <c r="J593" s="37"/>
      <c r="K593" s="36"/>
      <c r="L593" s="37"/>
      <c r="M593" s="36"/>
      <c r="N593" s="37"/>
      <c r="O593" s="36"/>
      <c r="P593" s="37"/>
      <c r="Q593" s="36"/>
      <c r="R593" s="36"/>
    </row>
    <row r="594" spans="1:18" x14ac:dyDescent="0.25">
      <c r="A594" s="36"/>
      <c r="C594" s="36"/>
      <c r="D594" s="37"/>
      <c r="E594" s="36"/>
      <c r="F594" s="37"/>
      <c r="G594" s="36"/>
      <c r="H594" s="37"/>
      <c r="I594" s="36"/>
      <c r="J594" s="37"/>
      <c r="K594" s="36"/>
      <c r="L594" s="37"/>
      <c r="M594" s="36"/>
      <c r="N594" s="37"/>
      <c r="O594" s="36"/>
      <c r="P594" s="37"/>
      <c r="Q594" s="36"/>
      <c r="R594" s="36"/>
    </row>
    <row r="595" spans="1:18" x14ac:dyDescent="0.25">
      <c r="A595" s="36"/>
      <c r="C595" s="36"/>
      <c r="D595" s="37"/>
      <c r="E595" s="36"/>
      <c r="F595" s="37"/>
      <c r="G595" s="36"/>
      <c r="H595" s="37"/>
      <c r="I595" s="36"/>
      <c r="J595" s="37"/>
      <c r="K595" s="36"/>
      <c r="L595" s="37"/>
      <c r="M595" s="36"/>
      <c r="N595" s="37"/>
      <c r="O595" s="36"/>
      <c r="P595" s="37"/>
      <c r="Q595" s="36"/>
      <c r="R595" s="36"/>
    </row>
    <row r="596" spans="1:18" x14ac:dyDescent="0.25">
      <c r="A596" s="36"/>
      <c r="C596" s="36"/>
      <c r="D596" s="37"/>
      <c r="E596" s="36"/>
      <c r="F596" s="37"/>
      <c r="G596" s="36"/>
      <c r="H596" s="37"/>
      <c r="I596" s="36"/>
      <c r="J596" s="37"/>
      <c r="K596" s="36"/>
      <c r="L596" s="37"/>
      <c r="M596" s="36"/>
      <c r="N596" s="37"/>
      <c r="O596" s="36"/>
      <c r="P596" s="37"/>
      <c r="Q596" s="36"/>
      <c r="R596" s="36"/>
    </row>
    <row r="597" spans="1:18" x14ac:dyDescent="0.25">
      <c r="A597" s="36"/>
      <c r="C597" s="36"/>
      <c r="D597" s="37"/>
      <c r="E597" s="36"/>
      <c r="F597" s="37"/>
      <c r="G597" s="36"/>
      <c r="H597" s="37"/>
      <c r="I597" s="36"/>
      <c r="J597" s="37"/>
      <c r="K597" s="36"/>
      <c r="L597" s="37"/>
      <c r="M597" s="36"/>
      <c r="N597" s="37"/>
      <c r="O597" s="36"/>
      <c r="P597" s="37"/>
      <c r="Q597" s="36"/>
      <c r="R597" s="36"/>
    </row>
    <row r="598" spans="1:18" x14ac:dyDescent="0.25">
      <c r="A598" s="36"/>
      <c r="C598" s="36"/>
      <c r="D598" s="37"/>
      <c r="E598" s="36"/>
      <c r="F598" s="37"/>
      <c r="G598" s="36"/>
      <c r="H598" s="37"/>
      <c r="I598" s="36"/>
      <c r="J598" s="37"/>
      <c r="K598" s="36"/>
      <c r="L598" s="37"/>
      <c r="M598" s="36"/>
      <c r="N598" s="37"/>
      <c r="O598" s="36"/>
      <c r="P598" s="37"/>
      <c r="Q598" s="36"/>
      <c r="R598" s="36"/>
    </row>
    <row r="599" spans="1:18" x14ac:dyDescent="0.25">
      <c r="A599" s="36"/>
      <c r="C599" s="36"/>
      <c r="D599" s="37"/>
      <c r="E599" s="36"/>
      <c r="F599" s="37"/>
      <c r="G599" s="36"/>
      <c r="H599" s="37"/>
      <c r="I599" s="36"/>
      <c r="J599" s="37"/>
      <c r="K599" s="36"/>
      <c r="L599" s="37"/>
      <c r="M599" s="36"/>
      <c r="N599" s="37"/>
      <c r="O599" s="36"/>
      <c r="P599" s="37"/>
      <c r="Q599" s="36"/>
      <c r="R599" s="36"/>
    </row>
    <row r="600" spans="1:18" x14ac:dyDescent="0.25">
      <c r="A600" s="36"/>
      <c r="C600" s="36"/>
      <c r="D600" s="37"/>
      <c r="E600" s="36"/>
      <c r="F600" s="37"/>
      <c r="G600" s="36"/>
      <c r="H600" s="37"/>
      <c r="I600" s="36"/>
      <c r="J600" s="37"/>
      <c r="K600" s="36"/>
      <c r="L600" s="37"/>
      <c r="M600" s="36"/>
      <c r="N600" s="37"/>
      <c r="O600" s="36"/>
      <c r="P600" s="37"/>
      <c r="Q600" s="36"/>
      <c r="R600" s="36"/>
    </row>
    <row r="601" spans="1:18" x14ac:dyDescent="0.25">
      <c r="A601" s="36"/>
      <c r="C601" s="36"/>
      <c r="D601" s="37"/>
      <c r="E601" s="36"/>
      <c r="F601" s="37"/>
      <c r="G601" s="36"/>
      <c r="H601" s="37"/>
      <c r="I601" s="36"/>
      <c r="J601" s="37"/>
      <c r="K601" s="36"/>
      <c r="L601" s="37"/>
      <c r="M601" s="36"/>
      <c r="N601" s="37"/>
      <c r="O601" s="36"/>
      <c r="P601" s="37"/>
      <c r="Q601" s="36"/>
      <c r="R601" s="36"/>
    </row>
    <row r="602" spans="1:18" x14ac:dyDescent="0.25">
      <c r="A602" s="36"/>
      <c r="C602" s="36"/>
      <c r="D602" s="37"/>
      <c r="E602" s="36"/>
      <c r="F602" s="37"/>
      <c r="G602" s="36"/>
      <c r="H602" s="37"/>
      <c r="I602" s="36"/>
      <c r="J602" s="37"/>
      <c r="K602" s="36"/>
      <c r="L602" s="37"/>
      <c r="M602" s="36"/>
      <c r="N602" s="37"/>
      <c r="O602" s="36"/>
      <c r="P602" s="37"/>
      <c r="Q602" s="36"/>
      <c r="R602" s="36"/>
    </row>
    <row r="603" spans="1:18" x14ac:dyDescent="0.25">
      <c r="A603" s="36"/>
      <c r="C603" s="36"/>
      <c r="D603" s="37"/>
      <c r="E603" s="36"/>
      <c r="F603" s="37"/>
      <c r="G603" s="36"/>
      <c r="H603" s="37"/>
      <c r="I603" s="36"/>
      <c r="J603" s="37"/>
      <c r="K603" s="36"/>
      <c r="L603" s="37"/>
      <c r="M603" s="36"/>
      <c r="N603" s="37"/>
      <c r="O603" s="36"/>
      <c r="P603" s="37"/>
      <c r="Q603" s="36"/>
      <c r="R603" s="36"/>
    </row>
    <row r="604" spans="1:18" x14ac:dyDescent="0.25">
      <c r="A604" s="36"/>
      <c r="C604" s="36"/>
      <c r="D604" s="37"/>
      <c r="E604" s="36"/>
      <c r="F604" s="37"/>
      <c r="G604" s="36"/>
      <c r="H604" s="37"/>
      <c r="I604" s="36"/>
      <c r="J604" s="37"/>
      <c r="K604" s="36"/>
      <c r="L604" s="37"/>
      <c r="M604" s="36"/>
      <c r="N604" s="37"/>
      <c r="O604" s="36"/>
      <c r="P604" s="37"/>
      <c r="Q604" s="36"/>
      <c r="R604" s="36"/>
    </row>
    <row r="605" spans="1:18" x14ac:dyDescent="0.25">
      <c r="A605" s="36"/>
      <c r="C605" s="36"/>
      <c r="D605" s="37"/>
      <c r="E605" s="36"/>
      <c r="F605" s="37"/>
      <c r="G605" s="36"/>
      <c r="H605" s="37"/>
      <c r="I605" s="36"/>
      <c r="J605" s="37"/>
      <c r="K605" s="36"/>
      <c r="L605" s="37"/>
      <c r="M605" s="36"/>
      <c r="N605" s="37"/>
      <c r="O605" s="36"/>
      <c r="P605" s="37"/>
      <c r="Q605" s="36"/>
      <c r="R605" s="36"/>
    </row>
    <row r="606" spans="1:18" x14ac:dyDescent="0.25">
      <c r="A606" s="36"/>
      <c r="C606" s="36"/>
      <c r="D606" s="37"/>
      <c r="E606" s="36"/>
      <c r="F606" s="37"/>
      <c r="G606" s="36"/>
      <c r="H606" s="37"/>
      <c r="I606" s="36"/>
      <c r="J606" s="37"/>
      <c r="K606" s="36"/>
      <c r="L606" s="37"/>
      <c r="M606" s="36"/>
      <c r="N606" s="37"/>
      <c r="O606" s="36"/>
      <c r="P606" s="37"/>
      <c r="Q606" s="36"/>
      <c r="R606" s="36"/>
    </row>
    <row r="607" spans="1:18" x14ac:dyDescent="0.25">
      <c r="A607" s="36"/>
      <c r="C607" s="36"/>
      <c r="D607" s="37"/>
      <c r="E607" s="36"/>
      <c r="F607" s="37"/>
      <c r="G607" s="36"/>
      <c r="H607" s="37"/>
      <c r="I607" s="36"/>
      <c r="J607" s="37"/>
      <c r="K607" s="36"/>
      <c r="L607" s="37"/>
      <c r="M607" s="36"/>
      <c r="N607" s="37"/>
      <c r="O607" s="36"/>
      <c r="P607" s="37"/>
      <c r="Q607" s="36"/>
      <c r="R607" s="36"/>
    </row>
    <row r="608" spans="1:18" x14ac:dyDescent="0.25">
      <c r="A608" s="36"/>
      <c r="C608" s="36"/>
      <c r="D608" s="37"/>
      <c r="E608" s="36"/>
      <c r="F608" s="37"/>
      <c r="G608" s="36"/>
      <c r="H608" s="37"/>
      <c r="I608" s="36"/>
      <c r="J608" s="37"/>
      <c r="K608" s="36"/>
      <c r="L608" s="37"/>
      <c r="M608" s="36"/>
      <c r="N608" s="37"/>
      <c r="O608" s="36"/>
      <c r="P608" s="37"/>
      <c r="Q608" s="36"/>
      <c r="R608" s="36"/>
    </row>
    <row r="609" spans="1:18" x14ac:dyDescent="0.25">
      <c r="A609" s="36"/>
      <c r="C609" s="36"/>
      <c r="D609" s="37"/>
      <c r="E609" s="36"/>
      <c r="F609" s="37"/>
      <c r="G609" s="36"/>
      <c r="H609" s="37"/>
      <c r="I609" s="36"/>
      <c r="J609" s="37"/>
      <c r="K609" s="36"/>
      <c r="L609" s="37"/>
      <c r="M609" s="36"/>
      <c r="N609" s="37"/>
      <c r="O609" s="36"/>
      <c r="P609" s="37"/>
      <c r="Q609" s="36"/>
      <c r="R609" s="36"/>
    </row>
    <row r="610" spans="1:18" x14ac:dyDescent="0.25">
      <c r="A610" s="36"/>
      <c r="C610" s="36"/>
      <c r="D610" s="37"/>
      <c r="E610" s="36"/>
      <c r="F610" s="37"/>
      <c r="G610" s="36"/>
      <c r="H610" s="37"/>
      <c r="I610" s="36"/>
      <c r="J610" s="37"/>
      <c r="K610" s="36"/>
      <c r="L610" s="37"/>
      <c r="M610" s="36"/>
      <c r="N610" s="37"/>
      <c r="O610" s="36"/>
      <c r="P610" s="37"/>
      <c r="Q610" s="36"/>
      <c r="R610" s="36"/>
    </row>
    <row r="611" spans="1:18" x14ac:dyDescent="0.25">
      <c r="A611" s="36"/>
      <c r="C611" s="36"/>
      <c r="D611" s="37"/>
      <c r="E611" s="36"/>
      <c r="F611" s="37"/>
      <c r="G611" s="36"/>
      <c r="H611" s="37"/>
      <c r="I611" s="36"/>
      <c r="J611" s="37"/>
      <c r="K611" s="36"/>
      <c r="L611" s="37"/>
      <c r="M611" s="36"/>
      <c r="N611" s="37"/>
      <c r="O611" s="36"/>
      <c r="P611" s="37"/>
      <c r="Q611" s="36"/>
      <c r="R611" s="36"/>
    </row>
    <row r="612" spans="1:18" x14ac:dyDescent="0.25">
      <c r="A612" s="36"/>
      <c r="C612" s="36"/>
      <c r="D612" s="37"/>
      <c r="E612" s="36"/>
      <c r="F612" s="37"/>
      <c r="G612" s="36"/>
      <c r="H612" s="37"/>
      <c r="I612" s="36"/>
      <c r="J612" s="37"/>
      <c r="K612" s="36"/>
      <c r="L612" s="37"/>
      <c r="M612" s="36"/>
      <c r="N612" s="37"/>
      <c r="O612" s="36"/>
      <c r="P612" s="37"/>
      <c r="Q612" s="36"/>
      <c r="R612" s="36"/>
    </row>
    <row r="613" spans="1:18" x14ac:dyDescent="0.25">
      <c r="A613" s="36"/>
      <c r="C613" s="36"/>
      <c r="D613" s="37"/>
      <c r="E613" s="36"/>
      <c r="F613" s="37"/>
      <c r="G613" s="36"/>
      <c r="H613" s="37"/>
      <c r="I613" s="36"/>
      <c r="J613" s="37"/>
      <c r="K613" s="36"/>
      <c r="L613" s="37"/>
      <c r="M613" s="36"/>
      <c r="N613" s="37"/>
      <c r="O613" s="36"/>
      <c r="P613" s="37"/>
      <c r="Q613" s="36"/>
      <c r="R613" s="36"/>
    </row>
    <row r="614" spans="1:18" x14ac:dyDescent="0.25">
      <c r="A614" s="36"/>
      <c r="C614" s="36"/>
      <c r="D614" s="37"/>
      <c r="E614" s="36"/>
      <c r="F614" s="37"/>
      <c r="G614" s="36"/>
      <c r="H614" s="37"/>
      <c r="I614" s="36"/>
      <c r="J614" s="37"/>
      <c r="K614" s="36"/>
      <c r="L614" s="37"/>
      <c r="M614" s="36"/>
      <c r="N614" s="37"/>
      <c r="O614" s="36"/>
      <c r="P614" s="37"/>
      <c r="Q614" s="36"/>
      <c r="R614" s="36"/>
    </row>
    <row r="615" spans="1:18" x14ac:dyDescent="0.25">
      <c r="A615" s="36"/>
      <c r="C615" s="36"/>
      <c r="D615" s="37"/>
      <c r="E615" s="36"/>
      <c r="F615" s="37"/>
      <c r="G615" s="36"/>
      <c r="H615" s="37"/>
      <c r="I615" s="36"/>
      <c r="J615" s="37"/>
      <c r="K615" s="36"/>
      <c r="L615" s="37"/>
      <c r="M615" s="36"/>
      <c r="N615" s="37"/>
      <c r="O615" s="36"/>
      <c r="P615" s="37"/>
      <c r="Q615" s="36"/>
      <c r="R615" s="36"/>
    </row>
    <row r="616" spans="1:18" x14ac:dyDescent="0.25">
      <c r="A616" s="36"/>
      <c r="C616" s="36"/>
      <c r="D616" s="37"/>
      <c r="E616" s="36"/>
      <c r="F616" s="37"/>
      <c r="G616" s="36"/>
      <c r="H616" s="37"/>
      <c r="I616" s="36"/>
      <c r="J616" s="37"/>
      <c r="K616" s="36"/>
      <c r="L616" s="37"/>
      <c r="M616" s="36"/>
      <c r="N616" s="37"/>
      <c r="O616" s="36"/>
      <c r="P616" s="37"/>
      <c r="Q616" s="36"/>
      <c r="R616" s="36"/>
    </row>
    <row r="617" spans="1:18" x14ac:dyDescent="0.25">
      <c r="A617" s="36"/>
      <c r="C617" s="36"/>
      <c r="D617" s="37"/>
      <c r="E617" s="36"/>
      <c r="F617" s="37"/>
      <c r="G617" s="36"/>
      <c r="H617" s="37"/>
      <c r="I617" s="36"/>
      <c r="J617" s="37"/>
      <c r="K617" s="36"/>
      <c r="L617" s="37"/>
      <c r="M617" s="36"/>
      <c r="N617" s="37"/>
      <c r="O617" s="36"/>
      <c r="P617" s="37"/>
      <c r="Q617" s="36"/>
      <c r="R617" s="36"/>
    </row>
    <row r="618" spans="1:18" x14ac:dyDescent="0.25">
      <c r="A618" s="36"/>
      <c r="C618" s="36"/>
      <c r="D618" s="37"/>
      <c r="E618" s="36"/>
      <c r="F618" s="37"/>
      <c r="G618" s="36"/>
      <c r="H618" s="37"/>
      <c r="I618" s="36"/>
      <c r="J618" s="37"/>
      <c r="K618" s="36"/>
      <c r="L618" s="37"/>
      <c r="M618" s="36"/>
      <c r="N618" s="37"/>
      <c r="O618" s="36"/>
      <c r="P618" s="37"/>
      <c r="Q618" s="36"/>
      <c r="R618" s="36"/>
    </row>
    <row r="619" spans="1:18" x14ac:dyDescent="0.25">
      <c r="A619" s="36"/>
      <c r="C619" s="36"/>
      <c r="D619" s="37"/>
      <c r="E619" s="36"/>
      <c r="F619" s="37"/>
      <c r="G619" s="36"/>
      <c r="H619" s="37"/>
      <c r="I619" s="36"/>
      <c r="J619" s="37"/>
      <c r="K619" s="36"/>
      <c r="L619" s="37"/>
      <c r="M619" s="36"/>
      <c r="N619" s="37"/>
      <c r="O619" s="36"/>
      <c r="P619" s="37"/>
      <c r="Q619" s="36"/>
      <c r="R619" s="36"/>
    </row>
    <row r="620" spans="1:18" x14ac:dyDescent="0.25">
      <c r="A620" s="36"/>
      <c r="C620" s="36"/>
      <c r="D620" s="37"/>
      <c r="E620" s="36"/>
      <c r="F620" s="37"/>
      <c r="G620" s="36"/>
      <c r="H620" s="37"/>
      <c r="I620" s="36"/>
      <c r="J620" s="37"/>
      <c r="K620" s="36"/>
      <c r="L620" s="37"/>
      <c r="M620" s="36"/>
      <c r="N620" s="37"/>
      <c r="O620" s="36"/>
      <c r="P620" s="37"/>
      <c r="Q620" s="36"/>
      <c r="R620" s="36"/>
    </row>
    <row r="621" spans="1:18" x14ac:dyDescent="0.25">
      <c r="A621" s="36"/>
      <c r="C621" s="36"/>
      <c r="D621" s="37"/>
      <c r="E621" s="36"/>
      <c r="F621" s="37"/>
      <c r="G621" s="36"/>
      <c r="H621" s="37"/>
      <c r="I621" s="36"/>
      <c r="J621" s="37"/>
      <c r="K621" s="36"/>
      <c r="L621" s="37"/>
      <c r="M621" s="36"/>
      <c r="N621" s="37"/>
      <c r="O621" s="36"/>
      <c r="P621" s="37"/>
      <c r="Q621" s="36"/>
      <c r="R621" s="36"/>
    </row>
    <row r="622" spans="1:18" x14ac:dyDescent="0.25">
      <c r="A622" s="36"/>
      <c r="C622" s="36"/>
      <c r="D622" s="37"/>
      <c r="E622" s="36"/>
      <c r="F622" s="37"/>
      <c r="G622" s="36"/>
      <c r="H622" s="37"/>
      <c r="I622" s="36"/>
      <c r="J622" s="37"/>
      <c r="K622" s="36"/>
      <c r="L622" s="37"/>
      <c r="M622" s="36"/>
      <c r="N622" s="37"/>
      <c r="O622" s="36"/>
      <c r="P622" s="37"/>
      <c r="Q622" s="36"/>
      <c r="R622" s="36"/>
    </row>
    <row r="623" spans="1:18" x14ac:dyDescent="0.25">
      <c r="A623" s="36"/>
      <c r="C623" s="36"/>
      <c r="D623" s="37"/>
      <c r="E623" s="36"/>
      <c r="F623" s="37"/>
      <c r="G623" s="36"/>
      <c r="H623" s="37"/>
      <c r="I623" s="36"/>
      <c r="J623" s="37"/>
      <c r="K623" s="36"/>
      <c r="L623" s="37"/>
      <c r="M623" s="36"/>
      <c r="N623" s="37"/>
      <c r="O623" s="36"/>
      <c r="P623" s="37"/>
      <c r="Q623" s="36"/>
      <c r="R623" s="36"/>
    </row>
    <row r="624" spans="1:18" x14ac:dyDescent="0.25">
      <c r="A624" s="36"/>
      <c r="C624" s="36"/>
      <c r="D624" s="37"/>
      <c r="E624" s="36"/>
      <c r="F624" s="37"/>
      <c r="G624" s="36"/>
      <c r="H624" s="37"/>
      <c r="I624" s="36"/>
      <c r="J624" s="37"/>
      <c r="K624" s="36"/>
      <c r="L624" s="37"/>
      <c r="M624" s="36"/>
      <c r="N624" s="37"/>
      <c r="O624" s="36"/>
      <c r="P624" s="37"/>
      <c r="Q624" s="36"/>
      <c r="R624" s="36"/>
    </row>
    <row r="625" spans="1:18" x14ac:dyDescent="0.25">
      <c r="A625" s="36"/>
      <c r="C625" s="36"/>
      <c r="D625" s="37"/>
      <c r="E625" s="36"/>
      <c r="F625" s="37"/>
      <c r="G625" s="36"/>
      <c r="H625" s="37"/>
      <c r="I625" s="36"/>
      <c r="J625" s="37"/>
      <c r="K625" s="36"/>
      <c r="L625" s="37"/>
      <c r="M625" s="36"/>
      <c r="N625" s="37"/>
      <c r="O625" s="36"/>
      <c r="P625" s="37"/>
      <c r="Q625" s="36"/>
      <c r="R625" s="36"/>
    </row>
    <row r="626" spans="1:18" x14ac:dyDescent="0.25">
      <c r="A626" s="36"/>
      <c r="C626" s="36"/>
      <c r="D626" s="37"/>
      <c r="E626" s="36"/>
      <c r="F626" s="37"/>
      <c r="G626" s="36"/>
      <c r="H626" s="37"/>
      <c r="I626" s="36"/>
      <c r="J626" s="37"/>
      <c r="K626" s="36"/>
      <c r="L626" s="37"/>
      <c r="M626" s="36"/>
      <c r="N626" s="37"/>
      <c r="O626" s="36"/>
      <c r="P626" s="37"/>
      <c r="Q626" s="36"/>
      <c r="R626" s="36"/>
    </row>
    <row r="627" spans="1:18" x14ac:dyDescent="0.25">
      <c r="A627" s="36"/>
      <c r="C627" s="36"/>
      <c r="D627" s="37"/>
      <c r="E627" s="36"/>
      <c r="F627" s="37"/>
      <c r="G627" s="36"/>
      <c r="H627" s="37"/>
      <c r="I627" s="36"/>
      <c r="J627" s="37"/>
      <c r="K627" s="36"/>
      <c r="L627" s="37"/>
      <c r="M627" s="36"/>
      <c r="N627" s="37"/>
      <c r="O627" s="36"/>
      <c r="P627" s="37"/>
      <c r="Q627" s="36"/>
      <c r="R627" s="36"/>
    </row>
    <row r="628" spans="1:18" x14ac:dyDescent="0.25">
      <c r="A628" s="36"/>
      <c r="C628" s="36"/>
      <c r="D628" s="37"/>
      <c r="E628" s="36"/>
      <c r="F628" s="37"/>
      <c r="G628" s="36"/>
      <c r="H628" s="37"/>
      <c r="I628" s="36"/>
      <c r="J628" s="37"/>
      <c r="K628" s="36"/>
      <c r="L628" s="37"/>
      <c r="M628" s="36"/>
      <c r="N628" s="37"/>
      <c r="O628" s="36"/>
      <c r="P628" s="37"/>
      <c r="Q628" s="36"/>
      <c r="R628" s="36"/>
    </row>
    <row r="629" spans="1:18" x14ac:dyDescent="0.25">
      <c r="A629" s="36"/>
      <c r="C629" s="36"/>
      <c r="D629" s="37"/>
      <c r="E629" s="36"/>
      <c r="F629" s="37"/>
      <c r="G629" s="36"/>
      <c r="H629" s="37"/>
      <c r="I629" s="36"/>
      <c r="J629" s="37"/>
      <c r="K629" s="36"/>
      <c r="L629" s="37"/>
      <c r="M629" s="36"/>
      <c r="N629" s="37"/>
      <c r="O629" s="36"/>
      <c r="P629" s="37"/>
      <c r="Q629" s="36"/>
      <c r="R629" s="36"/>
    </row>
    <row r="630" spans="1:18" x14ac:dyDescent="0.25">
      <c r="A630" s="36"/>
      <c r="C630" s="36"/>
      <c r="D630" s="37"/>
      <c r="E630" s="36"/>
      <c r="F630" s="37"/>
      <c r="G630" s="36"/>
      <c r="H630" s="37"/>
      <c r="I630" s="36"/>
      <c r="J630" s="37"/>
      <c r="K630" s="36"/>
      <c r="L630" s="37"/>
      <c r="M630" s="36"/>
      <c r="N630" s="37"/>
      <c r="O630" s="36"/>
      <c r="P630" s="37"/>
      <c r="Q630" s="36"/>
      <c r="R630" s="36"/>
    </row>
    <row r="631" spans="1:18" x14ac:dyDescent="0.25">
      <c r="A631" s="36"/>
      <c r="C631" s="36"/>
      <c r="D631" s="37"/>
      <c r="E631" s="36"/>
      <c r="F631" s="37"/>
      <c r="G631" s="36"/>
      <c r="H631" s="37"/>
      <c r="I631" s="36"/>
      <c r="J631" s="37"/>
      <c r="K631" s="36"/>
      <c r="L631" s="37"/>
      <c r="M631" s="36"/>
      <c r="N631" s="37"/>
      <c r="O631" s="36"/>
      <c r="P631" s="37"/>
      <c r="Q631" s="36"/>
      <c r="R631" s="36"/>
    </row>
    <row r="632" spans="1:18" x14ac:dyDescent="0.25">
      <c r="A632" s="36"/>
      <c r="C632" s="36"/>
      <c r="D632" s="37"/>
      <c r="E632" s="36"/>
      <c r="F632" s="37"/>
      <c r="G632" s="36"/>
      <c r="H632" s="37"/>
      <c r="I632" s="36"/>
      <c r="J632" s="37"/>
      <c r="K632" s="36"/>
      <c r="L632" s="37"/>
      <c r="M632" s="36"/>
      <c r="N632" s="37"/>
      <c r="O632" s="36"/>
      <c r="P632" s="37"/>
      <c r="Q632" s="36"/>
      <c r="R632" s="36"/>
    </row>
    <row r="633" spans="1:18" x14ac:dyDescent="0.25">
      <c r="A633" s="36"/>
      <c r="C633" s="36"/>
      <c r="D633" s="37"/>
      <c r="E633" s="36"/>
      <c r="F633" s="37"/>
      <c r="G633" s="36"/>
      <c r="H633" s="37"/>
      <c r="I633" s="36"/>
      <c r="J633" s="37"/>
      <c r="K633" s="36"/>
      <c r="L633" s="37"/>
      <c r="M633" s="36"/>
      <c r="N633" s="37"/>
      <c r="O633" s="36"/>
      <c r="P633" s="37"/>
      <c r="Q633" s="36"/>
      <c r="R633" s="36"/>
    </row>
    <row r="634" spans="1:18" x14ac:dyDescent="0.25">
      <c r="A634" s="36"/>
      <c r="C634" s="36"/>
      <c r="D634" s="37"/>
      <c r="E634" s="36"/>
      <c r="F634" s="37"/>
      <c r="G634" s="36"/>
      <c r="H634" s="37"/>
      <c r="I634" s="36"/>
      <c r="J634" s="37"/>
      <c r="K634" s="36"/>
      <c r="L634" s="37"/>
      <c r="M634" s="36"/>
      <c r="N634" s="37"/>
      <c r="O634" s="36"/>
      <c r="P634" s="37"/>
      <c r="Q634" s="36"/>
      <c r="R634" s="36"/>
    </row>
    <row r="635" spans="1:18" x14ac:dyDescent="0.25">
      <c r="A635" s="36"/>
      <c r="C635" s="36"/>
      <c r="D635" s="37"/>
      <c r="E635" s="36"/>
      <c r="F635" s="37"/>
      <c r="G635" s="36"/>
      <c r="H635" s="37"/>
      <c r="I635" s="36"/>
      <c r="J635" s="37"/>
      <c r="K635" s="36"/>
      <c r="L635" s="37"/>
      <c r="M635" s="36"/>
      <c r="N635" s="37"/>
      <c r="O635" s="36"/>
      <c r="P635" s="37"/>
      <c r="Q635" s="36"/>
      <c r="R635" s="36"/>
    </row>
    <row r="636" spans="1:18" x14ac:dyDescent="0.25">
      <c r="A636" s="36"/>
      <c r="C636" s="36"/>
      <c r="D636" s="37"/>
      <c r="E636" s="36"/>
      <c r="F636" s="37"/>
      <c r="G636" s="36"/>
      <c r="H636" s="37"/>
      <c r="I636" s="36"/>
      <c r="J636" s="37"/>
      <c r="K636" s="36"/>
      <c r="L636" s="37"/>
      <c r="M636" s="36"/>
      <c r="N636" s="37"/>
      <c r="O636" s="36"/>
      <c r="P636" s="37"/>
      <c r="Q636" s="36"/>
      <c r="R636" s="36"/>
    </row>
    <row r="637" spans="1:18" x14ac:dyDescent="0.25">
      <c r="A637" s="36"/>
      <c r="C637" s="36"/>
      <c r="D637" s="37"/>
      <c r="E637" s="36"/>
      <c r="F637" s="37"/>
      <c r="G637" s="36"/>
      <c r="H637" s="37"/>
      <c r="I637" s="36"/>
      <c r="J637" s="37"/>
      <c r="K637" s="36"/>
      <c r="L637" s="37"/>
      <c r="M637" s="36"/>
      <c r="N637" s="37"/>
      <c r="O637" s="36"/>
      <c r="P637" s="37"/>
      <c r="Q637" s="36"/>
      <c r="R637" s="36"/>
    </row>
    <row r="638" spans="1:18" x14ac:dyDescent="0.25">
      <c r="A638" s="36"/>
      <c r="C638" s="36"/>
      <c r="D638" s="37"/>
      <c r="E638" s="36"/>
      <c r="F638" s="37"/>
      <c r="G638" s="36"/>
      <c r="H638" s="37"/>
      <c r="I638" s="36"/>
      <c r="J638" s="37"/>
      <c r="K638" s="36"/>
      <c r="L638" s="37"/>
      <c r="M638" s="36"/>
      <c r="N638" s="37"/>
      <c r="O638" s="36"/>
      <c r="P638" s="37"/>
      <c r="Q638" s="36"/>
      <c r="R638" s="36"/>
    </row>
    <row r="639" spans="1:18" x14ac:dyDescent="0.25">
      <c r="A639" s="36"/>
      <c r="C639" s="36"/>
      <c r="D639" s="37"/>
      <c r="E639" s="36"/>
      <c r="F639" s="37"/>
      <c r="G639" s="36"/>
      <c r="H639" s="37"/>
      <c r="I639" s="36"/>
      <c r="J639" s="37"/>
      <c r="K639" s="36"/>
      <c r="L639" s="37"/>
      <c r="M639" s="36"/>
      <c r="N639" s="37"/>
      <c r="O639" s="36"/>
      <c r="P639" s="37"/>
      <c r="Q639" s="36"/>
      <c r="R639" s="36"/>
    </row>
    <row r="640" spans="1:18" x14ac:dyDescent="0.25">
      <c r="A640" s="36"/>
      <c r="C640" s="36"/>
      <c r="D640" s="37"/>
      <c r="E640" s="36"/>
      <c r="F640" s="37"/>
      <c r="G640" s="36"/>
      <c r="H640" s="37"/>
      <c r="I640" s="36"/>
      <c r="J640" s="37"/>
      <c r="K640" s="36"/>
      <c r="L640" s="37"/>
      <c r="M640" s="36"/>
      <c r="N640" s="37"/>
      <c r="O640" s="36"/>
      <c r="P640" s="37"/>
      <c r="Q640" s="36"/>
      <c r="R640" s="36"/>
    </row>
    <row r="641" spans="1:18" x14ac:dyDescent="0.25">
      <c r="A641" s="36"/>
      <c r="C641" s="36"/>
      <c r="D641" s="37"/>
      <c r="E641" s="36"/>
      <c r="F641" s="37"/>
      <c r="G641" s="36"/>
      <c r="H641" s="37"/>
      <c r="I641" s="36"/>
      <c r="J641" s="37"/>
      <c r="K641" s="36"/>
      <c r="L641" s="37"/>
      <c r="M641" s="36"/>
      <c r="N641" s="37"/>
      <c r="O641" s="36"/>
      <c r="P641" s="37"/>
      <c r="Q641" s="36"/>
      <c r="R641" s="36"/>
    </row>
    <row r="642" spans="1:18" x14ac:dyDescent="0.25">
      <c r="A642" s="36"/>
      <c r="C642" s="36"/>
      <c r="D642" s="37"/>
      <c r="E642" s="36"/>
      <c r="F642" s="37"/>
      <c r="G642" s="36"/>
      <c r="H642" s="37"/>
      <c r="I642" s="36"/>
      <c r="J642" s="37"/>
      <c r="K642" s="36"/>
      <c r="L642" s="37"/>
      <c r="M642" s="36"/>
      <c r="N642" s="37"/>
      <c r="O642" s="36"/>
      <c r="P642" s="37"/>
      <c r="Q642" s="36"/>
      <c r="R642" s="36"/>
    </row>
    <row r="643" spans="1:18" x14ac:dyDescent="0.25">
      <c r="A643" s="36"/>
      <c r="C643" s="36"/>
      <c r="D643" s="37"/>
      <c r="E643" s="36"/>
      <c r="F643" s="37"/>
      <c r="G643" s="36"/>
      <c r="H643" s="37"/>
      <c r="I643" s="36"/>
      <c r="J643" s="37"/>
      <c r="K643" s="36"/>
      <c r="L643" s="37"/>
      <c r="M643" s="36"/>
      <c r="N643" s="37"/>
      <c r="O643" s="36"/>
      <c r="P643" s="37"/>
      <c r="Q643" s="36"/>
      <c r="R643" s="36"/>
    </row>
    <row r="644" spans="1:18" x14ac:dyDescent="0.25">
      <c r="A644" s="36"/>
      <c r="C644" s="36"/>
      <c r="D644" s="37"/>
      <c r="E644" s="36"/>
      <c r="F644" s="37"/>
      <c r="G644" s="36"/>
      <c r="H644" s="37"/>
      <c r="I644" s="36"/>
      <c r="J644" s="37"/>
      <c r="K644" s="36"/>
      <c r="L644" s="37"/>
      <c r="M644" s="36"/>
      <c r="N644" s="37"/>
      <c r="O644" s="36"/>
      <c r="P644" s="37"/>
      <c r="Q644" s="36"/>
      <c r="R644" s="36"/>
    </row>
    <row r="645" spans="1:18" x14ac:dyDescent="0.25">
      <c r="A645" s="36"/>
      <c r="C645" s="36"/>
      <c r="D645" s="37"/>
      <c r="E645" s="36"/>
      <c r="F645" s="37"/>
      <c r="G645" s="36"/>
      <c r="H645" s="37"/>
      <c r="I645" s="36"/>
      <c r="J645" s="37"/>
      <c r="K645" s="36"/>
      <c r="L645" s="37"/>
      <c r="M645" s="36"/>
      <c r="N645" s="37"/>
      <c r="O645" s="36"/>
      <c r="P645" s="37"/>
      <c r="Q645" s="36"/>
      <c r="R645" s="36"/>
    </row>
    <row r="646" spans="1:18" x14ac:dyDescent="0.25">
      <c r="A646" s="36"/>
      <c r="C646" s="36"/>
      <c r="D646" s="37"/>
      <c r="E646" s="36"/>
      <c r="F646" s="37"/>
      <c r="G646" s="36"/>
      <c r="H646" s="37"/>
      <c r="I646" s="36"/>
      <c r="J646" s="37"/>
      <c r="K646" s="36"/>
      <c r="L646" s="37"/>
      <c r="M646" s="36"/>
      <c r="N646" s="37"/>
      <c r="O646" s="36"/>
      <c r="P646" s="37"/>
      <c r="Q646" s="36"/>
      <c r="R646" s="36"/>
    </row>
    <row r="647" spans="1:18" x14ac:dyDescent="0.25">
      <c r="A647" s="36"/>
      <c r="C647" s="36"/>
      <c r="D647" s="37"/>
      <c r="E647" s="36"/>
      <c r="F647" s="37"/>
      <c r="G647" s="36"/>
      <c r="H647" s="37"/>
      <c r="I647" s="36"/>
      <c r="J647" s="37"/>
      <c r="K647" s="36"/>
      <c r="L647" s="37"/>
      <c r="M647" s="36"/>
      <c r="N647" s="37"/>
      <c r="O647" s="36"/>
      <c r="P647" s="37"/>
      <c r="Q647" s="36"/>
      <c r="R647" s="36"/>
    </row>
    <row r="648" spans="1:18" x14ac:dyDescent="0.25">
      <c r="A648" s="36"/>
      <c r="C648" s="36"/>
      <c r="D648" s="37"/>
      <c r="E648" s="36"/>
      <c r="F648" s="37"/>
      <c r="G648" s="36"/>
      <c r="H648" s="37"/>
      <c r="I648" s="36"/>
      <c r="J648" s="37"/>
      <c r="K648" s="36"/>
      <c r="L648" s="37"/>
      <c r="M648" s="36"/>
      <c r="N648" s="37"/>
      <c r="O648" s="36"/>
      <c r="P648" s="37"/>
      <c r="Q648" s="36"/>
      <c r="R648" s="36"/>
    </row>
    <row r="649" spans="1:18" x14ac:dyDescent="0.25">
      <c r="A649" s="36"/>
      <c r="C649" s="36"/>
      <c r="D649" s="37"/>
      <c r="E649" s="36"/>
      <c r="F649" s="37"/>
      <c r="G649" s="36"/>
      <c r="H649" s="37"/>
      <c r="I649" s="36"/>
      <c r="J649" s="37"/>
      <c r="K649" s="36"/>
      <c r="L649" s="37"/>
      <c r="M649" s="36"/>
      <c r="N649" s="37"/>
      <c r="O649" s="36"/>
      <c r="P649" s="37"/>
      <c r="Q649" s="36"/>
      <c r="R649" s="36"/>
    </row>
    <row r="650" spans="1:18" x14ac:dyDescent="0.25">
      <c r="A650" s="36"/>
      <c r="C650" s="36"/>
      <c r="D650" s="37"/>
      <c r="E650" s="36"/>
      <c r="F650" s="37"/>
      <c r="G650" s="36"/>
      <c r="H650" s="37"/>
      <c r="I650" s="36"/>
      <c r="J650" s="37"/>
      <c r="K650" s="36"/>
      <c r="L650" s="37"/>
      <c r="M650" s="36"/>
      <c r="N650" s="37"/>
      <c r="O650" s="36"/>
      <c r="P650" s="37"/>
      <c r="Q650" s="36"/>
      <c r="R650" s="36"/>
    </row>
    <row r="651" spans="1:18" x14ac:dyDescent="0.25">
      <c r="A651" s="36"/>
      <c r="C651" s="36"/>
      <c r="D651" s="37"/>
      <c r="E651" s="36"/>
      <c r="F651" s="37"/>
      <c r="G651" s="36"/>
      <c r="H651" s="37"/>
      <c r="I651" s="36"/>
      <c r="J651" s="37"/>
      <c r="K651" s="36"/>
      <c r="L651" s="37"/>
      <c r="M651" s="36"/>
      <c r="N651" s="37"/>
      <c r="O651" s="36"/>
      <c r="P651" s="37"/>
      <c r="Q651" s="36"/>
      <c r="R651" s="36"/>
    </row>
    <row r="652" spans="1:18" x14ac:dyDescent="0.25">
      <c r="A652" s="36"/>
      <c r="C652" s="36"/>
      <c r="D652" s="37"/>
      <c r="E652" s="36"/>
      <c r="F652" s="37"/>
      <c r="G652" s="36"/>
      <c r="H652" s="37"/>
      <c r="I652" s="36"/>
      <c r="J652" s="37"/>
      <c r="K652" s="36"/>
      <c r="L652" s="37"/>
      <c r="M652" s="36"/>
      <c r="N652" s="37"/>
      <c r="O652" s="36"/>
      <c r="P652" s="37"/>
      <c r="Q652" s="36"/>
      <c r="R652" s="36"/>
    </row>
    <row r="653" spans="1:18" x14ac:dyDescent="0.25">
      <c r="A653" s="36"/>
      <c r="C653" s="36"/>
      <c r="D653" s="37"/>
      <c r="E653" s="36"/>
      <c r="F653" s="37"/>
      <c r="G653" s="36"/>
      <c r="H653" s="37"/>
      <c r="I653" s="36"/>
      <c r="J653" s="37"/>
      <c r="K653" s="36"/>
      <c r="L653" s="37"/>
      <c r="M653" s="36"/>
      <c r="N653" s="37"/>
      <c r="O653" s="36"/>
      <c r="P653" s="37"/>
      <c r="Q653" s="36"/>
      <c r="R653" s="36"/>
    </row>
    <row r="654" spans="1:18" x14ac:dyDescent="0.25">
      <c r="A654" s="36"/>
      <c r="C654" s="36"/>
      <c r="D654" s="37"/>
      <c r="E654" s="36"/>
      <c r="F654" s="37"/>
      <c r="G654" s="36"/>
      <c r="H654" s="37"/>
      <c r="I654" s="36"/>
      <c r="J654" s="37"/>
      <c r="K654" s="36"/>
      <c r="L654" s="37"/>
      <c r="M654" s="36"/>
      <c r="N654" s="37"/>
      <c r="O654" s="36"/>
      <c r="P654" s="37"/>
      <c r="Q654" s="36"/>
      <c r="R654" s="36"/>
    </row>
    <row r="655" spans="1:18" x14ac:dyDescent="0.25">
      <c r="A655" s="36"/>
      <c r="C655" s="36"/>
      <c r="D655" s="37"/>
      <c r="E655" s="36"/>
      <c r="F655" s="37"/>
      <c r="G655" s="36"/>
      <c r="H655" s="37"/>
      <c r="I655" s="36"/>
      <c r="J655" s="37"/>
      <c r="K655" s="36"/>
      <c r="L655" s="37"/>
      <c r="M655" s="36"/>
      <c r="N655" s="37"/>
      <c r="O655" s="36"/>
      <c r="P655" s="37"/>
      <c r="Q655" s="36"/>
      <c r="R655" s="36"/>
    </row>
    <row r="656" spans="1:18" x14ac:dyDescent="0.25">
      <c r="A656" s="36"/>
      <c r="C656" s="36"/>
      <c r="D656" s="37"/>
      <c r="E656" s="36"/>
      <c r="F656" s="37"/>
      <c r="G656" s="36"/>
      <c r="H656" s="37"/>
      <c r="I656" s="36"/>
      <c r="J656" s="37"/>
      <c r="K656" s="36"/>
      <c r="L656" s="37"/>
      <c r="M656" s="36"/>
      <c r="N656" s="37"/>
      <c r="O656" s="36"/>
      <c r="P656" s="37"/>
      <c r="Q656" s="36"/>
      <c r="R656" s="36"/>
    </row>
    <row r="657" spans="1:18" x14ac:dyDescent="0.25">
      <c r="A657" s="36"/>
      <c r="C657" s="36"/>
      <c r="D657" s="37"/>
      <c r="E657" s="36"/>
      <c r="F657" s="37"/>
      <c r="G657" s="36"/>
      <c r="H657" s="37"/>
      <c r="I657" s="36"/>
      <c r="J657" s="37"/>
      <c r="K657" s="36"/>
      <c r="L657" s="37"/>
      <c r="M657" s="36"/>
      <c r="N657" s="37"/>
      <c r="O657" s="36"/>
      <c r="P657" s="37"/>
      <c r="Q657" s="36"/>
      <c r="R657" s="36"/>
    </row>
    <row r="658" spans="1:18" x14ac:dyDescent="0.25">
      <c r="A658" s="36"/>
      <c r="C658" s="36"/>
      <c r="D658" s="37"/>
      <c r="E658" s="36"/>
      <c r="F658" s="37"/>
      <c r="G658" s="36"/>
      <c r="H658" s="37"/>
      <c r="I658" s="36"/>
      <c r="J658" s="37"/>
      <c r="K658" s="36"/>
      <c r="L658" s="37"/>
      <c r="M658" s="36"/>
      <c r="N658" s="37"/>
      <c r="O658" s="36"/>
      <c r="P658" s="37"/>
      <c r="Q658" s="36"/>
      <c r="R658" s="36"/>
    </row>
    <row r="659" spans="1:18" x14ac:dyDescent="0.25">
      <c r="A659" s="36"/>
      <c r="C659" s="36"/>
      <c r="D659" s="37"/>
      <c r="E659" s="36"/>
      <c r="F659" s="37"/>
      <c r="G659" s="36"/>
      <c r="H659" s="37"/>
      <c r="I659" s="36"/>
      <c r="J659" s="37"/>
      <c r="K659" s="36"/>
      <c r="L659" s="37"/>
      <c r="M659" s="36"/>
      <c r="N659" s="37"/>
      <c r="O659" s="36"/>
      <c r="P659" s="37"/>
      <c r="Q659" s="36"/>
      <c r="R659" s="36"/>
    </row>
    <row r="660" spans="1:18" x14ac:dyDescent="0.25">
      <c r="A660" s="36"/>
      <c r="C660" s="36"/>
      <c r="D660" s="37"/>
      <c r="E660" s="36"/>
      <c r="F660" s="37"/>
      <c r="G660" s="36"/>
      <c r="H660" s="37"/>
      <c r="I660" s="36"/>
      <c r="J660" s="37"/>
      <c r="K660" s="36"/>
      <c r="L660" s="37"/>
      <c r="M660" s="36"/>
      <c r="N660" s="37"/>
      <c r="O660" s="36"/>
      <c r="P660" s="37"/>
      <c r="Q660" s="36"/>
      <c r="R660" s="36"/>
    </row>
    <row r="661" spans="1:18" x14ac:dyDescent="0.25">
      <c r="A661" s="36"/>
      <c r="C661" s="36"/>
      <c r="D661" s="37"/>
      <c r="E661" s="36"/>
      <c r="F661" s="37"/>
      <c r="G661" s="36"/>
      <c r="H661" s="37"/>
      <c r="I661" s="36"/>
      <c r="J661" s="37"/>
      <c r="K661" s="36"/>
      <c r="L661" s="37"/>
      <c r="M661" s="36"/>
      <c r="N661" s="37"/>
      <c r="O661" s="36"/>
      <c r="P661" s="37"/>
      <c r="Q661" s="36"/>
      <c r="R661" s="36"/>
    </row>
    <row r="662" spans="1:18" x14ac:dyDescent="0.25">
      <c r="A662" s="36"/>
      <c r="C662" s="36"/>
      <c r="D662" s="37"/>
      <c r="E662" s="36"/>
      <c r="F662" s="37"/>
      <c r="G662" s="36"/>
      <c r="H662" s="37"/>
      <c r="I662" s="36"/>
      <c r="J662" s="37"/>
      <c r="K662" s="36"/>
      <c r="L662" s="37"/>
      <c r="M662" s="36"/>
      <c r="N662" s="37"/>
      <c r="O662" s="36"/>
      <c r="P662" s="37"/>
      <c r="Q662" s="36"/>
      <c r="R662" s="36"/>
    </row>
  </sheetData>
  <phoneticPr fontId="0" type="noConversion"/>
  <pageMargins left="1" right="1" top="0.5" bottom="0.25" header="0.25" footer="0"/>
  <pageSetup scale="91" orientation="portrait" r:id="rId1"/>
  <headerFooter alignWithMargins="0">
    <oddFooter>&amp;C&amp;"Times New Roman,Regular"&amp;9&amp;Z&amp;F&amp;R&amp;"Times New Roman,Regular"&amp;9&amp;A</oddFooter>
  </headerFooter>
  <rowBreaks count="2" manualBreakCount="2">
    <brk id="59" max="7" man="1"/>
    <brk id="6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
  <dimension ref="A1:O18"/>
  <sheetViews>
    <sheetView showGridLines="0" view="pageBreakPreview" zoomScaleNormal="100" zoomScaleSheetLayoutView="100" workbookViewId="0">
      <selection activeCell="L27" sqref="L27"/>
    </sheetView>
  </sheetViews>
  <sheetFormatPr defaultColWidth="9.77734375" defaultRowHeight="15" x14ac:dyDescent="0.25"/>
  <cols>
    <col min="1" max="1" width="3.6640625" style="140" customWidth="1"/>
    <col min="2" max="2" width="24.21875" style="74" customWidth="1"/>
    <col min="3" max="3" width="3.44140625" style="74" customWidth="1"/>
    <col min="4" max="4" width="8.6640625" style="74" customWidth="1"/>
    <col min="5" max="5" width="1.33203125" style="74" customWidth="1"/>
    <col min="6" max="6" width="8.33203125" style="74" customWidth="1"/>
    <col min="7" max="7" width="1.77734375" style="74" hidden="1" customWidth="1"/>
    <col min="8" max="8" width="7.88671875" style="74" hidden="1" customWidth="1"/>
    <col min="9" max="9" width="1.33203125" style="74" customWidth="1"/>
    <col min="10" max="10" width="7.33203125" style="74" customWidth="1"/>
    <col min="11" max="11" width="1" style="74" customWidth="1"/>
    <col min="12" max="12" width="16" style="74" bestFit="1" customWidth="1"/>
    <col min="13" max="13" width="12.77734375" style="74" customWidth="1"/>
    <col min="14" max="15" width="9.77734375" style="74"/>
    <col min="16" max="16" width="8.77734375" style="74" customWidth="1"/>
    <col min="17" max="17" width="9.77734375" style="74"/>
    <col min="18" max="18" width="10.77734375" style="74" customWidth="1"/>
    <col min="19" max="16384" width="9.77734375" style="74"/>
  </cols>
  <sheetData>
    <row r="1" spans="2:12" x14ac:dyDescent="0.25">
      <c r="L1" s="138" t="s">
        <v>226</v>
      </c>
    </row>
    <row r="2" spans="2:12" x14ac:dyDescent="0.25">
      <c r="B2" s="616" t="s">
        <v>45</v>
      </c>
      <c r="C2" s="616"/>
      <c r="D2" s="616"/>
      <c r="E2" s="616"/>
      <c r="F2" s="616"/>
      <c r="G2" s="616"/>
      <c r="H2" s="616"/>
      <c r="I2" s="616"/>
      <c r="J2" s="616"/>
      <c r="K2" s="616"/>
      <c r="L2" s="138"/>
    </row>
    <row r="3" spans="2:12" x14ac:dyDescent="0.25">
      <c r="B3" s="616" t="s">
        <v>215</v>
      </c>
      <c r="C3" s="616"/>
      <c r="D3" s="616"/>
      <c r="E3" s="616"/>
      <c r="F3" s="616"/>
      <c r="G3" s="616"/>
      <c r="H3" s="616"/>
      <c r="I3" s="616"/>
      <c r="J3" s="616"/>
      <c r="K3" s="616"/>
      <c r="L3" s="139"/>
    </row>
    <row r="4" spans="2:12" x14ac:dyDescent="0.25">
      <c r="B4" s="617">
        <f>'Consolidated Budget'!A4</f>
        <v>44469</v>
      </c>
      <c r="C4" s="617"/>
      <c r="D4" s="617"/>
      <c r="E4" s="617"/>
      <c r="F4" s="617"/>
      <c r="G4" s="617"/>
      <c r="H4" s="617"/>
      <c r="I4" s="617"/>
      <c r="J4" s="617"/>
      <c r="K4" s="617"/>
      <c r="L4" s="139"/>
    </row>
    <row r="8" spans="2:12" x14ac:dyDescent="0.25">
      <c r="F8" s="140" t="s">
        <v>89</v>
      </c>
      <c r="G8" s="140"/>
      <c r="H8" s="140" t="s">
        <v>89</v>
      </c>
    </row>
    <row r="9" spans="2:12" x14ac:dyDescent="0.25">
      <c r="D9" s="140" t="s">
        <v>88</v>
      </c>
      <c r="E9" s="140"/>
      <c r="F9" s="140" t="s">
        <v>91</v>
      </c>
      <c r="G9" s="140"/>
      <c r="H9" s="140" t="s">
        <v>91</v>
      </c>
      <c r="J9" s="140" t="s">
        <v>90</v>
      </c>
    </row>
    <row r="10" spans="2:12" x14ac:dyDescent="0.25">
      <c r="B10" s="140" t="s">
        <v>376</v>
      </c>
      <c r="D10" s="140" t="s">
        <v>82</v>
      </c>
      <c r="E10" s="140"/>
      <c r="F10" s="140" t="s">
        <v>270</v>
      </c>
      <c r="G10" s="140"/>
      <c r="H10" s="140" t="s">
        <v>270</v>
      </c>
      <c r="J10" s="140" t="s">
        <v>92</v>
      </c>
    </row>
    <row r="11" spans="2:12" x14ac:dyDescent="0.25">
      <c r="B11" s="141" t="s">
        <v>93</v>
      </c>
      <c r="D11" s="141" t="s">
        <v>89</v>
      </c>
      <c r="E11" s="270"/>
      <c r="F11" s="142">
        <v>44469</v>
      </c>
      <c r="G11" s="143"/>
      <c r="H11" s="142">
        <v>40816</v>
      </c>
      <c r="J11" s="141" t="s">
        <v>94</v>
      </c>
      <c r="L11" s="144" t="s">
        <v>95</v>
      </c>
    </row>
    <row r="12" spans="2:12" x14ac:dyDescent="0.25">
      <c r="D12" s="145"/>
      <c r="E12" s="145"/>
      <c r="F12" s="145"/>
      <c r="G12" s="145"/>
      <c r="H12" s="145"/>
    </row>
    <row r="13" spans="2:12" x14ac:dyDescent="0.25">
      <c r="B13" s="391" t="s">
        <v>557</v>
      </c>
      <c r="D13" s="148"/>
      <c r="E13" s="148"/>
      <c r="F13" s="589">
        <v>0</v>
      </c>
      <c r="G13" s="148"/>
      <c r="H13" s="148"/>
      <c r="I13" s="145"/>
      <c r="J13" s="149"/>
    </row>
    <row r="14" spans="2:12" ht="7.5" customHeight="1" x14ac:dyDescent="0.25">
      <c r="B14" s="146"/>
      <c r="D14" s="145"/>
      <c r="E14" s="145"/>
      <c r="F14" s="587"/>
      <c r="G14" s="145"/>
      <c r="H14" s="145"/>
      <c r="I14" s="145"/>
      <c r="J14" s="165"/>
    </row>
    <row r="15" spans="2:12" ht="17.25" x14ac:dyDescent="0.4">
      <c r="B15" s="391" t="s">
        <v>556</v>
      </c>
      <c r="D15" s="395"/>
      <c r="E15" s="395"/>
      <c r="F15" s="588">
        <v>0</v>
      </c>
      <c r="G15" s="145"/>
      <c r="H15" s="145"/>
      <c r="I15" s="145"/>
      <c r="J15" s="165"/>
    </row>
    <row r="16" spans="2:12" x14ac:dyDescent="0.25">
      <c r="B16" s="147"/>
      <c r="D16" s="394"/>
      <c r="E16" s="394"/>
      <c r="F16" s="394"/>
      <c r="G16" s="145"/>
      <c r="H16" s="145"/>
      <c r="I16" s="145"/>
      <c r="J16" s="165"/>
    </row>
    <row r="17" spans="2:15" ht="17.25" x14ac:dyDescent="0.4">
      <c r="B17" s="393" t="s">
        <v>263</v>
      </c>
      <c r="C17" s="146"/>
      <c r="D17" s="404"/>
      <c r="E17" s="403"/>
      <c r="F17" s="586">
        <f>SUM(F15:F15)</f>
        <v>0</v>
      </c>
      <c r="G17" s="392"/>
      <c r="H17" s="392">
        <f>SUM(H13:H13)</f>
        <v>0</v>
      </c>
      <c r="I17" s="392"/>
      <c r="J17" s="151"/>
    </row>
    <row r="18" spans="2:15" x14ac:dyDescent="0.25">
      <c r="D18" s="396"/>
      <c r="E18" s="396"/>
      <c r="F18" s="396"/>
      <c r="H18" s="150"/>
      <c r="J18" s="149"/>
      <c r="O18" s="74" t="s">
        <v>19</v>
      </c>
    </row>
  </sheetData>
  <mergeCells count="3">
    <mergeCell ref="B2:K2"/>
    <mergeCell ref="B3:K3"/>
    <mergeCell ref="B4:K4"/>
  </mergeCells>
  <phoneticPr fontId="0" type="noConversion"/>
  <pageMargins left="0.5" right="0.5" top="0.5" bottom="0.25" header="0.25" footer="0"/>
  <pageSetup orientation="portrait" r:id="rId1"/>
  <headerFooter scaleWithDoc="0" alignWithMargins="0">
    <oddFooter>&amp;C&amp;"Times New Roman,Regular"&amp;9&amp;Z&amp;F&amp;R&amp;"Times New Roman,Regular"&amp;9&amp;A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9"/>
  <dimension ref="A1:P200"/>
  <sheetViews>
    <sheetView tabSelected="1" view="pageBreakPreview" zoomScaleNormal="75" zoomScaleSheetLayoutView="100" workbookViewId="0">
      <selection activeCell="E108" sqref="E108"/>
    </sheetView>
  </sheetViews>
  <sheetFormatPr defaultColWidth="9.77734375" defaultRowHeight="15.75" x14ac:dyDescent="0.25"/>
  <cols>
    <col min="1" max="1" width="35.88671875" style="75" bestFit="1" customWidth="1"/>
    <col min="2" max="2" width="1.109375" style="75" customWidth="1"/>
    <col min="3" max="3" width="10.88671875" style="319" customWidth="1"/>
    <col min="4" max="4" width="1.109375" style="75" customWidth="1"/>
    <col min="5" max="5" width="10.21875" style="319" bestFit="1" customWidth="1"/>
    <col min="6" max="6" width="1" style="75" customWidth="1"/>
    <col min="7" max="7" width="10.88671875" style="319" bestFit="1" customWidth="1"/>
    <col min="8" max="8" width="1.5546875" style="75" customWidth="1"/>
    <col min="9" max="9" width="10.109375" style="75" customWidth="1"/>
    <col min="10" max="10" width="8.77734375" style="75" customWidth="1"/>
    <col min="11" max="11" width="9.33203125" style="75" customWidth="1"/>
    <col min="12" max="12" width="10.77734375" style="75" customWidth="1"/>
    <col min="13" max="13" width="0.77734375" style="75" customWidth="1"/>
    <col min="14" max="16384" width="9.77734375" style="75"/>
  </cols>
  <sheetData>
    <row r="1" spans="1:11" x14ac:dyDescent="0.25">
      <c r="G1" s="111"/>
      <c r="I1" s="111" t="s">
        <v>227</v>
      </c>
    </row>
    <row r="2" spans="1:11" x14ac:dyDescent="0.25">
      <c r="A2" s="618" t="s">
        <v>45</v>
      </c>
      <c r="B2" s="618"/>
      <c r="C2" s="618"/>
      <c r="D2" s="618"/>
      <c r="E2" s="618"/>
      <c r="F2" s="618"/>
      <c r="G2" s="618"/>
      <c r="H2" s="618"/>
      <c r="I2" s="618"/>
    </row>
    <row r="3" spans="1:11" x14ac:dyDescent="0.25">
      <c r="A3" s="618" t="s">
        <v>216</v>
      </c>
      <c r="B3" s="618"/>
      <c r="C3" s="618"/>
      <c r="D3" s="618"/>
      <c r="E3" s="618"/>
      <c r="F3" s="618"/>
      <c r="G3" s="618"/>
      <c r="H3" s="618"/>
      <c r="I3" s="618"/>
    </row>
    <row r="4" spans="1:11" x14ac:dyDescent="0.25">
      <c r="A4" s="618" t="s">
        <v>540</v>
      </c>
      <c r="B4" s="618"/>
      <c r="C4" s="618"/>
      <c r="D4" s="618"/>
      <c r="E4" s="618"/>
      <c r="F4" s="618"/>
      <c r="G4" s="618"/>
      <c r="H4" s="618"/>
      <c r="I4" s="618"/>
    </row>
    <row r="6" spans="1:11" x14ac:dyDescent="0.25">
      <c r="C6" s="619" t="s">
        <v>96</v>
      </c>
      <c r="D6" s="619"/>
      <c r="E6" s="619"/>
      <c r="F6" s="619"/>
      <c r="G6" s="619"/>
    </row>
    <row r="7" spans="1:11" x14ac:dyDescent="0.25">
      <c r="C7" s="79">
        <v>2019</v>
      </c>
      <c r="D7" s="80"/>
      <c r="E7" s="79">
        <f>C7+1</f>
        <v>2020</v>
      </c>
      <c r="F7" s="80"/>
      <c r="G7" s="79">
        <f>E7+1</f>
        <v>2021</v>
      </c>
    </row>
    <row r="8" spans="1:11" x14ac:dyDescent="0.25">
      <c r="C8" s="405" t="s">
        <v>81</v>
      </c>
      <c r="E8" s="405" t="s">
        <v>82</v>
      </c>
      <c r="G8" s="405" t="s">
        <v>83</v>
      </c>
    </row>
    <row r="9" spans="1:11" x14ac:dyDescent="0.25">
      <c r="A9" s="117" t="s">
        <v>0</v>
      </c>
      <c r="E9" s="443"/>
    </row>
    <row r="10" spans="1:11" x14ac:dyDescent="0.25">
      <c r="A10" s="75" t="s">
        <v>1</v>
      </c>
      <c r="C10" s="437">
        <f>C56</f>
        <v>159729</v>
      </c>
      <c r="D10" s="465"/>
      <c r="E10" s="437">
        <f>E56</f>
        <v>175212</v>
      </c>
      <c r="F10" s="465"/>
      <c r="G10" s="437">
        <f>G56</f>
        <v>173500</v>
      </c>
      <c r="I10" s="466">
        <f t="shared" ref="I10:I15" si="0">+G10/E10-1</f>
        <v>-9.771020249754625E-3</v>
      </c>
    </row>
    <row r="11" spans="1:11" x14ac:dyDescent="0.25">
      <c r="A11" s="75" t="s">
        <v>2</v>
      </c>
      <c r="C11" s="435">
        <f>C61</f>
        <v>127496</v>
      </c>
      <c r="D11" s="465"/>
      <c r="E11" s="435">
        <f>E61</f>
        <v>116094</v>
      </c>
      <c r="F11" s="465"/>
      <c r="G11" s="435">
        <f>G61</f>
        <v>114400</v>
      </c>
      <c r="I11" s="466">
        <f t="shared" si="0"/>
        <v>-1.4591624028804207E-2</v>
      </c>
    </row>
    <row r="12" spans="1:11" x14ac:dyDescent="0.25">
      <c r="A12" s="75" t="s">
        <v>3</v>
      </c>
      <c r="C12" s="435">
        <f>C71</f>
        <v>131342</v>
      </c>
      <c r="D12" s="465"/>
      <c r="E12" s="435">
        <f>E71</f>
        <v>102098</v>
      </c>
      <c r="F12" s="465"/>
      <c r="G12" s="435">
        <f>G71</f>
        <v>101750</v>
      </c>
      <c r="I12" s="466">
        <f t="shared" si="0"/>
        <v>-3.4084898822699383E-3</v>
      </c>
    </row>
    <row r="13" spans="1:11" x14ac:dyDescent="0.25">
      <c r="A13" s="75" t="s">
        <v>4</v>
      </c>
      <c r="C13" s="435">
        <f>C73</f>
        <v>586154</v>
      </c>
      <c r="D13" s="465"/>
      <c r="E13" s="435">
        <f>E73</f>
        <v>562464</v>
      </c>
      <c r="F13" s="465"/>
      <c r="G13" s="435">
        <f>G73</f>
        <v>562400</v>
      </c>
      <c r="H13" s="92"/>
      <c r="I13" s="466">
        <f t="shared" si="0"/>
        <v>-1.1378506002157618E-4</v>
      </c>
      <c r="J13" s="92"/>
    </row>
    <row r="14" spans="1:11" ht="18" x14ac:dyDescent="0.4">
      <c r="A14" s="75" t="s">
        <v>5</v>
      </c>
      <c r="C14" s="432">
        <f>C85</f>
        <v>161560</v>
      </c>
      <c r="D14" s="465"/>
      <c r="E14" s="432">
        <f>E85</f>
        <v>75705</v>
      </c>
      <c r="F14" s="465"/>
      <c r="G14" s="432">
        <f>G85</f>
        <v>41100</v>
      </c>
      <c r="I14" s="467">
        <f t="shared" si="0"/>
        <v>-0.45710322964137107</v>
      </c>
    </row>
    <row r="15" spans="1:11" ht="18" x14ac:dyDescent="0.4">
      <c r="A15" s="75" t="s">
        <v>97</v>
      </c>
      <c r="C15" s="432">
        <f>SUM(C10:C14)</f>
        <v>1166281</v>
      </c>
      <c r="D15" s="468"/>
      <c r="E15" s="432">
        <f>SUM(E10:E14)</f>
        <v>1031573</v>
      </c>
      <c r="F15" s="468"/>
      <c r="G15" s="432">
        <f>SUM(G10:G14)</f>
        <v>993150</v>
      </c>
      <c r="I15" s="467">
        <f t="shared" si="0"/>
        <v>-3.7247000454645462E-2</v>
      </c>
      <c r="J15" s="92">
        <f>E15-'Estimating Schedule - GF'!I85</f>
        <v>0</v>
      </c>
      <c r="K15" s="92"/>
    </row>
    <row r="16" spans="1:11" x14ac:dyDescent="0.25">
      <c r="C16" s="435"/>
      <c r="D16" s="468"/>
      <c r="E16" s="435"/>
      <c r="F16" s="468"/>
      <c r="G16" s="435"/>
      <c r="I16" s="465"/>
      <c r="J16" s="92"/>
    </row>
    <row r="17" spans="1:14" x14ac:dyDescent="0.25">
      <c r="A17" s="117" t="s">
        <v>7</v>
      </c>
      <c r="C17" s="435"/>
      <c r="D17" s="468"/>
      <c r="E17" s="435"/>
      <c r="F17" s="468"/>
      <c r="G17" s="435"/>
      <c r="I17" s="465"/>
      <c r="K17" s="92"/>
    </row>
    <row r="18" spans="1:14" x14ac:dyDescent="0.25">
      <c r="A18" s="75" t="s">
        <v>8</v>
      </c>
      <c r="C18" s="435">
        <f>C116</f>
        <v>254663</v>
      </c>
      <c r="D18" s="468"/>
      <c r="E18" s="435">
        <f>E116</f>
        <v>224976</v>
      </c>
      <c r="F18" s="468"/>
      <c r="G18" s="435">
        <f>G116</f>
        <v>172820</v>
      </c>
      <c r="I18" s="466">
        <f t="shared" ref="I18:I24" si="1">+G18/E18-1</f>
        <v>-0.23182917288955263</v>
      </c>
      <c r="J18" s="92"/>
      <c r="K18" s="92"/>
    </row>
    <row r="19" spans="1:14" x14ac:dyDescent="0.25">
      <c r="A19" s="75" t="s">
        <v>98</v>
      </c>
      <c r="C19" s="435"/>
      <c r="D19" s="468"/>
      <c r="E19" s="435"/>
      <c r="F19" s="468"/>
      <c r="G19" s="435"/>
      <c r="I19" s="466"/>
    </row>
    <row r="20" spans="1:14" x14ac:dyDescent="0.25">
      <c r="A20" s="75" t="s">
        <v>99</v>
      </c>
      <c r="C20" s="435">
        <f>C144</f>
        <v>874166</v>
      </c>
      <c r="D20" s="468"/>
      <c r="E20" s="435">
        <f>E144</f>
        <v>837440</v>
      </c>
      <c r="F20" s="435">
        <f>F144</f>
        <v>0</v>
      </c>
      <c r="G20" s="435">
        <f>G144</f>
        <v>851900</v>
      </c>
      <c r="I20" s="466">
        <f t="shared" si="1"/>
        <v>1.7266908674054227E-2</v>
      </c>
      <c r="J20" s="92"/>
      <c r="K20" s="469"/>
    </row>
    <row r="21" spans="1:14" x14ac:dyDescent="0.25">
      <c r="A21" s="75" t="s">
        <v>11</v>
      </c>
      <c r="C21" s="435">
        <f>C181</f>
        <v>146842</v>
      </c>
      <c r="D21" s="468"/>
      <c r="E21" s="435">
        <f>E181</f>
        <v>132215</v>
      </c>
      <c r="F21" s="435">
        <f>F181</f>
        <v>0</v>
      </c>
      <c r="G21" s="435">
        <f>G181</f>
        <v>139397</v>
      </c>
      <c r="I21" s="466">
        <f t="shared" si="1"/>
        <v>5.4320614151193158E-2</v>
      </c>
      <c r="J21" s="92"/>
      <c r="K21" s="92"/>
    </row>
    <row r="22" spans="1:14" x14ac:dyDescent="0.25">
      <c r="A22" s="75" t="s">
        <v>13</v>
      </c>
      <c r="C22" s="455">
        <f>C196</f>
        <v>19787</v>
      </c>
      <c r="D22" s="447"/>
      <c r="E22" s="435">
        <f>E196</f>
        <v>51892</v>
      </c>
      <c r="F22" s="435">
        <f>F196</f>
        <v>0</v>
      </c>
      <c r="G22" s="435">
        <f>G196</f>
        <v>28266</v>
      </c>
      <c r="I22" s="466">
        <f t="shared" si="1"/>
        <v>-0.45529175980883374</v>
      </c>
    </row>
    <row r="23" spans="1:14" ht="18" x14ac:dyDescent="0.4">
      <c r="A23" s="75" t="s">
        <v>100</v>
      </c>
      <c r="C23" s="432">
        <f>C191</f>
        <v>131739</v>
      </c>
      <c r="D23" s="468"/>
      <c r="E23" s="432">
        <f>E191</f>
        <v>27401</v>
      </c>
      <c r="F23" s="432">
        <f>F191</f>
        <v>0</v>
      </c>
      <c r="G23" s="470">
        <f>G191</f>
        <v>0</v>
      </c>
      <c r="I23" s="467">
        <f t="shared" si="1"/>
        <v>-1</v>
      </c>
      <c r="J23" s="92"/>
    </row>
    <row r="24" spans="1:14" ht="18" x14ac:dyDescent="0.4">
      <c r="A24" s="75" t="s">
        <v>14</v>
      </c>
      <c r="C24" s="432">
        <f>SUM(C18:C23)</f>
        <v>1427197</v>
      </c>
      <c r="D24" s="468"/>
      <c r="E24" s="432">
        <f>SUM(E18:E23)</f>
        <v>1273924</v>
      </c>
      <c r="F24" s="468"/>
      <c r="G24" s="432">
        <f>SUM(G18:G23)</f>
        <v>1192383</v>
      </c>
      <c r="I24" s="467">
        <f t="shared" si="1"/>
        <v>-6.4007743005077278E-2</v>
      </c>
      <c r="J24" s="92">
        <f>E24-'Estimating Schedule - GF'!I200</f>
        <v>0</v>
      </c>
      <c r="K24" s="92">
        <f>E24-'Estimating Schedule - GF'!I200</f>
        <v>0</v>
      </c>
    </row>
    <row r="25" spans="1:14" x14ac:dyDescent="0.25">
      <c r="A25" s="75" t="s">
        <v>101</v>
      </c>
      <c r="C25" s="435"/>
      <c r="D25" s="468"/>
      <c r="E25" s="435"/>
      <c r="F25" s="468"/>
      <c r="G25" s="435"/>
      <c r="I25" s="465"/>
    </row>
    <row r="26" spans="1:14" ht="18" x14ac:dyDescent="0.4">
      <c r="A26" s="75" t="s">
        <v>426</v>
      </c>
      <c r="C26" s="432">
        <f>C15-C24</f>
        <v>-260916</v>
      </c>
      <c r="D26" s="471"/>
      <c r="E26" s="432">
        <f>E15-E24</f>
        <v>-242351</v>
      </c>
      <c r="F26" s="471"/>
      <c r="G26" s="432">
        <f>G15-G24</f>
        <v>-199233</v>
      </c>
      <c r="I26" s="467">
        <f>+G26/E26-1</f>
        <v>-0.17791550272125967</v>
      </c>
      <c r="J26" s="92"/>
    </row>
    <row r="27" spans="1:14" x14ac:dyDescent="0.25">
      <c r="C27" s="435"/>
      <c r="D27" s="468"/>
      <c r="E27" s="435"/>
      <c r="F27" s="468"/>
      <c r="G27" s="435"/>
    </row>
    <row r="28" spans="1:14" x14ac:dyDescent="0.25">
      <c r="A28" s="117" t="s">
        <v>102</v>
      </c>
      <c r="C28" s="435"/>
      <c r="D28" s="468"/>
      <c r="E28" s="435"/>
      <c r="F28" s="468"/>
      <c r="G28" s="435"/>
      <c r="J28" s="92"/>
    </row>
    <row r="29" spans="1:14" x14ac:dyDescent="0.25">
      <c r="A29" s="194" t="s">
        <v>528</v>
      </c>
      <c r="C29" s="435">
        <v>90500</v>
      </c>
      <c r="D29" s="447"/>
      <c r="E29" s="447">
        <f>'Estimating Schedule - GF'!I32</f>
        <v>0</v>
      </c>
      <c r="F29" s="447"/>
      <c r="G29" s="447">
        <v>0</v>
      </c>
      <c r="I29" s="466">
        <v>0</v>
      </c>
      <c r="J29" s="92"/>
      <c r="N29" s="75" t="s">
        <v>19</v>
      </c>
    </row>
    <row r="30" spans="1:14" ht="18" x14ac:dyDescent="0.4">
      <c r="A30" s="122" t="s">
        <v>423</v>
      </c>
      <c r="C30" s="434">
        <v>192602</v>
      </c>
      <c r="D30" s="472"/>
      <c r="E30" s="434">
        <f>'Estimating Schedule - GF'!I33</f>
        <v>250000</v>
      </c>
      <c r="F30" s="472"/>
      <c r="G30" s="473">
        <v>200000</v>
      </c>
      <c r="I30" s="467">
        <f>+G30/E30-1</f>
        <v>-0.19999999999999996</v>
      </c>
      <c r="J30" s="92"/>
      <c r="K30" s="92"/>
    </row>
    <row r="31" spans="1:14" ht="18" x14ac:dyDescent="0.4">
      <c r="A31" s="258" t="s">
        <v>503</v>
      </c>
      <c r="C31" s="434">
        <f>SUM(C29:C30)</f>
        <v>283102</v>
      </c>
      <c r="D31" s="472"/>
      <c r="E31" s="434">
        <f>SUM(E29:E30)</f>
        <v>250000</v>
      </c>
      <c r="F31" s="472"/>
      <c r="G31" s="434">
        <f>SUM(G29:G30)</f>
        <v>200000</v>
      </c>
      <c r="I31" s="467">
        <f>+G31/E31-1</f>
        <v>-0.19999999999999996</v>
      </c>
      <c r="J31" s="92"/>
      <c r="K31" s="92"/>
    </row>
    <row r="32" spans="1:14" x14ac:dyDescent="0.25">
      <c r="C32" s="435"/>
      <c r="D32" s="468"/>
      <c r="E32" s="435"/>
      <c r="F32" s="468"/>
      <c r="G32" s="435"/>
      <c r="I32" s="465"/>
    </row>
    <row r="33" spans="1:12" x14ac:dyDescent="0.25">
      <c r="A33" s="75" t="s">
        <v>329</v>
      </c>
      <c r="C33" s="435"/>
      <c r="D33" s="468"/>
      <c r="E33" s="435"/>
      <c r="F33" s="468"/>
      <c r="G33" s="435"/>
      <c r="I33" s="465"/>
    </row>
    <row r="34" spans="1:12" x14ac:dyDescent="0.25">
      <c r="A34" s="75" t="s">
        <v>103</v>
      </c>
      <c r="C34" s="435">
        <f>C26+C31</f>
        <v>22186</v>
      </c>
      <c r="D34" s="468"/>
      <c r="E34" s="435">
        <f>E26+E31</f>
        <v>7649</v>
      </c>
      <c r="F34" s="468"/>
      <c r="G34" s="435">
        <f>G26+G31</f>
        <v>767</v>
      </c>
      <c r="I34" s="466">
        <f>+G34/E34-1</f>
        <v>-0.89972545430775264</v>
      </c>
      <c r="K34" s="92"/>
    </row>
    <row r="35" spans="1:12" x14ac:dyDescent="0.25">
      <c r="C35" s="445"/>
      <c r="D35" s="468"/>
      <c r="E35" s="435"/>
      <c r="F35" s="468"/>
      <c r="G35" s="435"/>
      <c r="I35" s="465"/>
    </row>
    <row r="36" spans="1:12" ht="18" x14ac:dyDescent="0.4">
      <c r="A36" s="117" t="s">
        <v>150</v>
      </c>
      <c r="C36" s="446">
        <v>168921</v>
      </c>
      <c r="D36" s="468"/>
      <c r="E36" s="432">
        <f>C38</f>
        <v>191107</v>
      </c>
      <c r="F36" s="468"/>
      <c r="G36" s="432">
        <f>E38</f>
        <v>198756</v>
      </c>
      <c r="I36" s="467">
        <f>+G36/E36-1</f>
        <v>4.0024698205717302E-2</v>
      </c>
    </row>
    <row r="37" spans="1:12" x14ac:dyDescent="0.25">
      <c r="C37" s="443"/>
      <c r="D37" s="465"/>
      <c r="E37" s="443"/>
      <c r="F37" s="465"/>
      <c r="G37" s="443"/>
      <c r="I37" s="465"/>
    </row>
    <row r="38" spans="1:12" ht="18" x14ac:dyDescent="0.4">
      <c r="A38" s="117" t="s">
        <v>104</v>
      </c>
      <c r="C38" s="444">
        <f>SUM(C34:C36)</f>
        <v>191107</v>
      </c>
      <c r="D38" s="465"/>
      <c r="E38" s="444">
        <f>SUM(E34:E36)</f>
        <v>198756</v>
      </c>
      <c r="F38" s="465"/>
      <c r="G38" s="444">
        <f>SUM(G34:G36)</f>
        <v>199523</v>
      </c>
      <c r="I38" s="474">
        <f>+G38/E38-1</f>
        <v>3.8590029986516061E-3</v>
      </c>
      <c r="J38" s="385">
        <f>(C24-C23)/12*2</f>
        <v>215909.66666666666</v>
      </c>
      <c r="K38" s="385">
        <f>(E24-E23)/12*2</f>
        <v>207753.83333333334</v>
      </c>
      <c r="L38" s="385">
        <f>(G24-G23)/12*2</f>
        <v>198730.5</v>
      </c>
    </row>
    <row r="39" spans="1:12" x14ac:dyDescent="0.25">
      <c r="J39" s="475"/>
    </row>
    <row r="40" spans="1:12" x14ac:dyDescent="0.25">
      <c r="G40" s="111"/>
      <c r="I40" s="111" t="s">
        <v>228</v>
      </c>
    </row>
    <row r="41" spans="1:12" x14ac:dyDescent="0.25">
      <c r="A41" s="618" t="s">
        <v>45</v>
      </c>
      <c r="B41" s="618"/>
      <c r="C41" s="618"/>
      <c r="D41" s="618"/>
      <c r="E41" s="618"/>
      <c r="F41" s="618"/>
      <c r="G41" s="618"/>
      <c r="H41" s="618"/>
      <c r="I41" s="618"/>
    </row>
    <row r="42" spans="1:12" x14ac:dyDescent="0.25">
      <c r="A42" s="618" t="s">
        <v>216</v>
      </c>
      <c r="B42" s="618"/>
      <c r="C42" s="618"/>
      <c r="D42" s="618"/>
      <c r="E42" s="618"/>
      <c r="F42" s="618"/>
      <c r="G42" s="618"/>
      <c r="H42" s="618"/>
      <c r="I42" s="618"/>
    </row>
    <row r="43" spans="1:12" x14ac:dyDescent="0.25">
      <c r="A43" s="618" t="s">
        <v>217</v>
      </c>
      <c r="B43" s="618"/>
      <c r="C43" s="618"/>
      <c r="D43" s="618"/>
      <c r="E43" s="618"/>
      <c r="F43" s="618"/>
      <c r="G43" s="618"/>
      <c r="H43" s="618"/>
      <c r="I43" s="618"/>
    </row>
    <row r="44" spans="1:12" x14ac:dyDescent="0.25">
      <c r="A44" s="618" t="str">
        <f>+A4</f>
        <v>Year Ending September 30, 2021</v>
      </c>
      <c r="B44" s="618"/>
      <c r="C44" s="618"/>
      <c r="D44" s="618"/>
      <c r="E44" s="618"/>
      <c r="F44" s="618"/>
      <c r="G44" s="618"/>
      <c r="H44" s="618"/>
      <c r="I44" s="618"/>
    </row>
    <row r="47" spans="1:12" ht="15" customHeight="1" x14ac:dyDescent="0.25">
      <c r="C47" s="619" t="s">
        <v>105</v>
      </c>
      <c r="D47" s="619"/>
      <c r="E47" s="619"/>
      <c r="F47" s="619"/>
      <c r="G47" s="619"/>
    </row>
    <row r="48" spans="1:12" ht="15" customHeight="1" x14ac:dyDescent="0.25">
      <c r="C48" s="79">
        <f>C7</f>
        <v>2019</v>
      </c>
      <c r="D48" s="80"/>
      <c r="E48" s="79">
        <f>E7</f>
        <v>2020</v>
      </c>
      <c r="F48" s="80"/>
      <c r="G48" s="79">
        <f>G7</f>
        <v>2021</v>
      </c>
    </row>
    <row r="49" spans="1:9" ht="17.25" customHeight="1" x14ac:dyDescent="0.25">
      <c r="C49" s="405" t="s">
        <v>81</v>
      </c>
      <c r="E49" s="405" t="s">
        <v>82</v>
      </c>
      <c r="G49" s="405" t="s">
        <v>83</v>
      </c>
    </row>
    <row r="50" spans="1:9" ht="15" customHeight="1" x14ac:dyDescent="0.25">
      <c r="A50" s="117" t="s">
        <v>0</v>
      </c>
    </row>
    <row r="51" spans="1:9" ht="15" customHeight="1" x14ac:dyDescent="0.25">
      <c r="A51" s="117" t="s">
        <v>360</v>
      </c>
      <c r="I51" s="466"/>
    </row>
    <row r="52" spans="1:9" ht="15" customHeight="1" x14ac:dyDescent="0.25">
      <c r="A52" s="75" t="s">
        <v>106</v>
      </c>
      <c r="C52" s="382">
        <v>70384</v>
      </c>
      <c r="E52" s="437">
        <f>'Estimating Schedule - GF'!I49</f>
        <v>81341</v>
      </c>
      <c r="F52" s="85"/>
      <c r="G52" s="382">
        <v>81300</v>
      </c>
      <c r="I52" s="466">
        <f>+G52/E52-1</f>
        <v>-5.0405084766602659E-4</v>
      </c>
    </row>
    <row r="53" spans="1:9" ht="15" customHeight="1" x14ac:dyDescent="0.25">
      <c r="A53" s="75" t="s">
        <v>241</v>
      </c>
      <c r="C53" s="385">
        <v>1799</v>
      </c>
      <c r="E53" s="435">
        <f>'Estimating Schedule - GF'!I50</f>
        <v>5131</v>
      </c>
      <c r="F53" s="171"/>
      <c r="G53" s="385">
        <v>3500</v>
      </c>
      <c r="I53" s="466">
        <f>+G53/E53-1</f>
        <v>-0.31787175989085947</v>
      </c>
    </row>
    <row r="54" spans="1:9" ht="15" customHeight="1" x14ac:dyDescent="0.25">
      <c r="A54" s="75" t="s">
        <v>107</v>
      </c>
      <c r="C54" s="385"/>
      <c r="E54" s="443"/>
      <c r="G54" s="385"/>
      <c r="I54" s="466"/>
    </row>
    <row r="55" spans="1:9" ht="17.25" customHeight="1" x14ac:dyDescent="0.4">
      <c r="A55" s="75" t="s">
        <v>108</v>
      </c>
      <c r="C55" s="386">
        <v>87546</v>
      </c>
      <c r="E55" s="434">
        <f>'Estimating Schedule - GF'!I52</f>
        <v>88740</v>
      </c>
      <c r="G55" s="386">
        <v>88700</v>
      </c>
      <c r="I55" s="467">
        <f>+G55/E55-1</f>
        <v>-4.5075501464952872E-4</v>
      </c>
    </row>
    <row r="56" spans="1:9" ht="17.25" customHeight="1" x14ac:dyDescent="0.4">
      <c r="A56" s="75" t="s">
        <v>109</v>
      </c>
      <c r="C56" s="432">
        <f>SUM(C52:C55)</f>
        <v>159729</v>
      </c>
      <c r="D56" s="87"/>
      <c r="E56" s="432">
        <f>SUM(E52:E55)</f>
        <v>175212</v>
      </c>
      <c r="F56" s="87"/>
      <c r="G56" s="432">
        <f>SUM(G52:G55)</f>
        <v>173500</v>
      </c>
      <c r="I56" s="467">
        <f>+G56/E56-1</f>
        <v>-9.771020249754625E-3</v>
      </c>
    </row>
    <row r="57" spans="1:9" x14ac:dyDescent="0.25">
      <c r="C57" s="385"/>
      <c r="D57" s="87"/>
      <c r="E57" s="435"/>
      <c r="F57" s="87"/>
      <c r="G57" s="385"/>
      <c r="I57" s="465"/>
    </row>
    <row r="58" spans="1:9" x14ac:dyDescent="0.25">
      <c r="A58" s="117" t="s">
        <v>110</v>
      </c>
      <c r="C58" s="385"/>
      <c r="D58" s="87"/>
      <c r="E58" s="435"/>
      <c r="F58" s="87"/>
      <c r="G58" s="385"/>
      <c r="I58" s="465"/>
    </row>
    <row r="59" spans="1:9" x14ac:dyDescent="0.25">
      <c r="A59" s="75" t="s">
        <v>111</v>
      </c>
      <c r="C59" s="385">
        <v>104034</v>
      </c>
      <c r="D59" s="87"/>
      <c r="E59" s="435">
        <f>'Estimating Schedule - GF'!I56</f>
        <v>103964</v>
      </c>
      <c r="F59" s="87"/>
      <c r="G59" s="385">
        <v>103900</v>
      </c>
      <c r="I59" s="466">
        <f>+G59/E59-1</f>
        <v>-6.1559770689856297E-4</v>
      </c>
    </row>
    <row r="60" spans="1:9" ht="18" x14ac:dyDescent="0.4">
      <c r="A60" s="122" t="s">
        <v>506</v>
      </c>
      <c r="C60" s="365">
        <v>23462</v>
      </c>
      <c r="D60" s="476"/>
      <c r="E60" s="365">
        <f>'Estimating Schedule - GF'!I57</f>
        <v>12130</v>
      </c>
      <c r="F60" s="476"/>
      <c r="G60" s="365">
        <v>10500</v>
      </c>
      <c r="H60" s="100"/>
      <c r="I60" s="477">
        <f>+G60/E60-1</f>
        <v>-0.13437757625721347</v>
      </c>
    </row>
    <row r="61" spans="1:9" ht="18" x14ac:dyDescent="0.4">
      <c r="A61" s="75" t="s">
        <v>112</v>
      </c>
      <c r="C61" s="432">
        <f>SUM(C59:C60)</f>
        <v>127496</v>
      </c>
      <c r="D61" s="87"/>
      <c r="E61" s="432">
        <f>SUM(E59:E60)</f>
        <v>116094</v>
      </c>
      <c r="F61" s="87"/>
      <c r="G61" s="432">
        <f>SUM(G59:G60)</f>
        <v>114400</v>
      </c>
      <c r="I61" s="467">
        <f>+G61/E61-1</f>
        <v>-1.4591624028804207E-2</v>
      </c>
    </row>
    <row r="62" spans="1:9" x14ac:dyDescent="0.25">
      <c r="C62" s="385"/>
      <c r="D62" s="87"/>
      <c r="E62" s="435"/>
      <c r="F62" s="87"/>
      <c r="G62" s="163"/>
      <c r="I62" s="465"/>
    </row>
    <row r="63" spans="1:9" x14ac:dyDescent="0.25">
      <c r="A63" s="117" t="s">
        <v>113</v>
      </c>
      <c r="C63" s="385"/>
      <c r="D63" s="87"/>
      <c r="E63" s="435"/>
      <c r="F63" s="87"/>
      <c r="G63" s="385"/>
      <c r="I63" s="465"/>
    </row>
    <row r="64" spans="1:9" x14ac:dyDescent="0.25">
      <c r="A64" s="75" t="s">
        <v>114</v>
      </c>
      <c r="C64" s="385"/>
      <c r="D64" s="87"/>
      <c r="E64" s="435"/>
      <c r="F64" s="87"/>
      <c r="G64" s="385"/>
      <c r="I64" s="465"/>
    </row>
    <row r="65" spans="1:11" x14ac:dyDescent="0.25">
      <c r="A65" s="75" t="s">
        <v>115</v>
      </c>
      <c r="C65" s="385">
        <v>5493</v>
      </c>
      <c r="D65" s="87"/>
      <c r="E65" s="435">
        <f>'Estimating Schedule - GF'!I62</f>
        <v>5863</v>
      </c>
      <c r="F65" s="87"/>
      <c r="G65" s="385">
        <v>5500</v>
      </c>
      <c r="I65" s="466">
        <f t="shared" ref="I65:I71" si="2">+G65/E65-1</f>
        <v>-6.1913696060037493E-2</v>
      </c>
      <c r="K65" s="92"/>
    </row>
    <row r="66" spans="1:11" x14ac:dyDescent="0.25">
      <c r="A66" s="75" t="s">
        <v>422</v>
      </c>
      <c r="C66" s="385">
        <v>65935</v>
      </c>
      <c r="D66" s="87"/>
      <c r="E66" s="435">
        <f>'Estimating Schedule - GF'!I63</f>
        <v>50000</v>
      </c>
      <c r="F66" s="171"/>
      <c r="G66" s="385">
        <v>50000</v>
      </c>
      <c r="I66" s="466">
        <f t="shared" si="2"/>
        <v>0</v>
      </c>
    </row>
    <row r="67" spans="1:11" x14ac:dyDescent="0.25">
      <c r="A67" s="122" t="s">
        <v>235</v>
      </c>
      <c r="C67" s="385">
        <v>37493</v>
      </c>
      <c r="D67" s="87"/>
      <c r="E67" s="435">
        <f>'Estimating Schedule - GF'!I64</f>
        <v>25960</v>
      </c>
      <c r="F67" s="87"/>
      <c r="G67" s="385">
        <v>26000</v>
      </c>
      <c r="I67" s="466">
        <f t="shared" si="2"/>
        <v>1.5408320493066618E-3</v>
      </c>
    </row>
    <row r="68" spans="1:11" x14ac:dyDescent="0.25">
      <c r="A68" s="75" t="s">
        <v>302</v>
      </c>
      <c r="C68" s="385">
        <v>16428</v>
      </c>
      <c r="D68" s="87"/>
      <c r="E68" s="435">
        <f>'Estimating Schedule - GF'!I65</f>
        <v>14142</v>
      </c>
      <c r="F68" s="87"/>
      <c r="G68" s="385">
        <v>14100</v>
      </c>
      <c r="I68" s="466">
        <f t="shared" si="2"/>
        <v>-2.9698769622401588E-3</v>
      </c>
    </row>
    <row r="69" spans="1:11" x14ac:dyDescent="0.25">
      <c r="A69" s="75" t="s">
        <v>303</v>
      </c>
      <c r="C69" s="385">
        <f>2100+2100</f>
        <v>4200</v>
      </c>
      <c r="D69" s="87"/>
      <c r="E69" s="435">
        <f>'Estimating Schedule - GF'!I66</f>
        <v>4200</v>
      </c>
      <c r="F69" s="87"/>
      <c r="G69" s="385">
        <v>4200</v>
      </c>
      <c r="I69" s="466">
        <f t="shared" si="2"/>
        <v>0</v>
      </c>
    </row>
    <row r="70" spans="1:11" ht="18" x14ac:dyDescent="0.4">
      <c r="A70" s="75" t="s">
        <v>327</v>
      </c>
      <c r="C70" s="386">
        <v>1793</v>
      </c>
      <c r="D70" s="87"/>
      <c r="E70" s="434">
        <f>'Estimating Schedule - GF'!I67</f>
        <v>1933</v>
      </c>
      <c r="F70" s="87"/>
      <c r="G70" s="386">
        <v>1950</v>
      </c>
      <c r="I70" s="467">
        <f t="shared" si="2"/>
        <v>8.7946197620278888E-3</v>
      </c>
    </row>
    <row r="71" spans="1:11" ht="18" x14ac:dyDescent="0.4">
      <c r="A71" s="75" t="s">
        <v>117</v>
      </c>
      <c r="C71" s="432">
        <f>SUM(C65:C70)</f>
        <v>131342</v>
      </c>
      <c r="D71" s="468"/>
      <c r="E71" s="432">
        <f>SUM(E65:E70)</f>
        <v>102098</v>
      </c>
      <c r="F71" s="468"/>
      <c r="G71" s="432">
        <f>SUM(G65:G70)</f>
        <v>101750</v>
      </c>
      <c r="I71" s="467">
        <f t="shared" si="2"/>
        <v>-3.4084898822699383E-3</v>
      </c>
    </row>
    <row r="72" spans="1:11" x14ac:dyDescent="0.25">
      <c r="C72" s="385"/>
      <c r="D72" s="87"/>
      <c r="E72" s="435"/>
      <c r="F72" s="87"/>
      <c r="G72" s="385"/>
      <c r="I72" s="465"/>
    </row>
    <row r="73" spans="1:11" ht="18" x14ac:dyDescent="0.4">
      <c r="A73" s="117" t="s">
        <v>4</v>
      </c>
      <c r="C73" s="446">
        <v>586154</v>
      </c>
      <c r="D73" s="468"/>
      <c r="E73" s="432">
        <f>'Estimating Schedule - GF'!I71</f>
        <v>562464</v>
      </c>
      <c r="F73" s="468"/>
      <c r="G73" s="446">
        <v>562400</v>
      </c>
      <c r="I73" s="467">
        <f>+G73/E73-1</f>
        <v>-1.1378506002157618E-4</v>
      </c>
    </row>
    <row r="74" spans="1:11" x14ac:dyDescent="0.25">
      <c r="C74" s="385"/>
      <c r="D74" s="87"/>
      <c r="E74" s="385"/>
      <c r="F74" s="87"/>
      <c r="G74" s="385"/>
      <c r="I74" s="465"/>
    </row>
    <row r="75" spans="1:11" x14ac:dyDescent="0.25">
      <c r="A75" s="117" t="s">
        <v>118</v>
      </c>
      <c r="C75" s="385"/>
      <c r="D75" s="87"/>
      <c r="E75" s="385"/>
      <c r="F75" s="87"/>
      <c r="G75" s="385"/>
    </row>
    <row r="76" spans="1:11" x14ac:dyDescent="0.25">
      <c r="A76" s="75" t="s">
        <v>119</v>
      </c>
      <c r="C76" s="385">
        <v>115800</v>
      </c>
      <c r="D76" s="87"/>
      <c r="E76" s="435">
        <f>'Estimating Schedule - GF'!I74</f>
        <v>27800</v>
      </c>
      <c r="F76" s="87"/>
      <c r="G76" s="385">
        <v>12600</v>
      </c>
      <c r="I76" s="466">
        <f t="shared" ref="I76:I86" si="3">+G76/E76-1</f>
        <v>-0.54676258992805749</v>
      </c>
      <c r="J76" s="92"/>
    </row>
    <row r="77" spans="1:11" x14ac:dyDescent="0.25">
      <c r="A77" s="75" t="s">
        <v>200</v>
      </c>
      <c r="C77" s="289">
        <v>1130</v>
      </c>
      <c r="D77" s="87"/>
      <c r="E77" s="435">
        <f>'Estimating Schedule - GF'!I75</f>
        <v>0</v>
      </c>
      <c r="F77" s="87"/>
      <c r="G77" s="385">
        <v>1000</v>
      </c>
      <c r="I77" s="466">
        <v>1</v>
      </c>
    </row>
    <row r="78" spans="1:11" x14ac:dyDescent="0.25">
      <c r="A78" s="75" t="s">
        <v>120</v>
      </c>
      <c r="C78" s="385">
        <v>9350</v>
      </c>
      <c r="D78" s="87"/>
      <c r="E78" s="435">
        <f>'Estimating Schedule - GF'!I76</f>
        <v>7075</v>
      </c>
      <c r="F78" s="87"/>
      <c r="G78" s="385">
        <v>7000</v>
      </c>
      <c r="H78" s="87"/>
      <c r="I78" s="466">
        <f t="shared" si="3"/>
        <v>-1.0600706713780883E-2</v>
      </c>
    </row>
    <row r="79" spans="1:11" x14ac:dyDescent="0.25">
      <c r="A79" s="122" t="s">
        <v>437</v>
      </c>
      <c r="C79" s="385">
        <v>23121</v>
      </c>
      <c r="D79" s="87"/>
      <c r="E79" s="435">
        <f>'Estimating Schedule - GF'!I77</f>
        <v>6443</v>
      </c>
      <c r="F79" s="87"/>
      <c r="G79" s="385">
        <v>6400</v>
      </c>
      <c r="H79" s="87"/>
      <c r="I79" s="466">
        <f t="shared" si="3"/>
        <v>-6.6739096694086175E-3</v>
      </c>
    </row>
    <row r="80" spans="1:11" x14ac:dyDescent="0.25">
      <c r="A80" s="122" t="s">
        <v>381</v>
      </c>
      <c r="C80" s="361">
        <v>0</v>
      </c>
      <c r="D80" s="87"/>
      <c r="E80" s="435">
        <f>'Estimating Schedule - GF'!I78</f>
        <v>300</v>
      </c>
      <c r="F80" s="87"/>
      <c r="G80" s="385">
        <v>0</v>
      </c>
      <c r="H80" s="87"/>
      <c r="I80" s="466">
        <f t="shared" si="3"/>
        <v>-1</v>
      </c>
    </row>
    <row r="81" spans="1:10" x14ac:dyDescent="0.25">
      <c r="A81" s="75" t="s">
        <v>384</v>
      </c>
      <c r="C81" s="385">
        <v>4067</v>
      </c>
      <c r="D81" s="87"/>
      <c r="E81" s="435">
        <f>'Estimating Schedule - GF'!I79</f>
        <v>2624</v>
      </c>
      <c r="F81" s="87"/>
      <c r="G81" s="385">
        <v>2600</v>
      </c>
      <c r="H81" s="87"/>
      <c r="I81" s="466">
        <f t="shared" si="3"/>
        <v>-9.1463414634146423E-3</v>
      </c>
    </row>
    <row r="82" spans="1:10" x14ac:dyDescent="0.25">
      <c r="A82" s="75" t="s">
        <v>435</v>
      </c>
      <c r="C82" s="387">
        <v>0</v>
      </c>
      <c r="D82" s="87"/>
      <c r="E82" s="435">
        <f>'Estimating Schedule - GF'!I80</f>
        <v>4032</v>
      </c>
      <c r="F82" s="87"/>
      <c r="G82" s="385">
        <v>4000</v>
      </c>
      <c r="H82" s="87"/>
      <c r="I82" s="466">
        <f t="shared" si="3"/>
        <v>-7.9365079365079083E-3</v>
      </c>
    </row>
    <row r="83" spans="1:10" x14ac:dyDescent="0.25">
      <c r="A83" s="75" t="s">
        <v>444</v>
      </c>
      <c r="C83" s="361">
        <v>0</v>
      </c>
      <c r="D83" s="87"/>
      <c r="E83" s="455">
        <f>'Estimating Schedule - GF'!I81</f>
        <v>19876</v>
      </c>
      <c r="F83" s="87"/>
      <c r="G83" s="385">
        <v>0</v>
      </c>
      <c r="H83" s="87"/>
      <c r="I83" s="466">
        <v>0</v>
      </c>
    </row>
    <row r="84" spans="1:10" ht="18" x14ac:dyDescent="0.4">
      <c r="A84" s="75" t="s">
        <v>382</v>
      </c>
      <c r="C84" s="386">
        <f>6847+1245</f>
        <v>8092</v>
      </c>
      <c r="D84" s="87"/>
      <c r="E84" s="432">
        <f>'Estimating Schedule - GF'!I82</f>
        <v>7555</v>
      </c>
      <c r="F84" s="386"/>
      <c r="G84" s="386">
        <v>7500</v>
      </c>
      <c r="I84" s="467">
        <f t="shared" si="3"/>
        <v>-7.2799470549305134E-3</v>
      </c>
    </row>
    <row r="85" spans="1:10" ht="18" x14ac:dyDescent="0.4">
      <c r="A85" s="75" t="s">
        <v>121</v>
      </c>
      <c r="C85" s="432">
        <f>SUM(C76:C84)</f>
        <v>161560</v>
      </c>
      <c r="D85" s="468"/>
      <c r="E85" s="432">
        <f>SUM(E76:E84)</f>
        <v>75705</v>
      </c>
      <c r="F85" s="468"/>
      <c r="G85" s="432">
        <f>SUM(G76:G84)</f>
        <v>41100</v>
      </c>
      <c r="H85" s="465"/>
      <c r="I85" s="467">
        <f t="shared" si="3"/>
        <v>-0.45710322964137107</v>
      </c>
    </row>
    <row r="86" spans="1:10" ht="18" x14ac:dyDescent="0.4">
      <c r="A86" s="75" t="s">
        <v>271</v>
      </c>
      <c r="C86" s="444">
        <f>C85+C73+C71+C61+C56</f>
        <v>1166281</v>
      </c>
      <c r="D86" s="478"/>
      <c r="E86" s="444">
        <f>E85+E73+E71+E61+E56</f>
        <v>1031573</v>
      </c>
      <c r="F86" s="478"/>
      <c r="G86" s="444">
        <f>G85+G73+G71+G61+G56</f>
        <v>993150</v>
      </c>
      <c r="H86" s="465"/>
      <c r="I86" s="474">
        <f t="shared" si="3"/>
        <v>-3.7247000454645462E-2</v>
      </c>
      <c r="J86" s="475">
        <f>E86-'Estimating Schedule - GF'!I17</f>
        <v>0</v>
      </c>
    </row>
    <row r="87" spans="1:10" ht="15" customHeight="1" x14ac:dyDescent="0.4">
      <c r="C87" s="133"/>
      <c r="D87" s="85"/>
      <c r="E87" s="133"/>
      <c r="F87" s="85"/>
      <c r="G87" s="479"/>
      <c r="I87" s="479" t="s">
        <v>229</v>
      </c>
    </row>
    <row r="88" spans="1:10" ht="15" customHeight="1" x14ac:dyDescent="0.25">
      <c r="A88" s="618" t="s">
        <v>45</v>
      </c>
      <c r="B88" s="618"/>
      <c r="C88" s="618"/>
      <c r="D88" s="618"/>
      <c r="E88" s="618"/>
      <c r="F88" s="618"/>
      <c r="G88" s="618"/>
      <c r="H88" s="618"/>
      <c r="I88" s="618"/>
    </row>
    <row r="89" spans="1:10" ht="15" customHeight="1" x14ac:dyDescent="0.25">
      <c r="A89" s="618" t="s">
        <v>216</v>
      </c>
      <c r="B89" s="618"/>
      <c r="C89" s="618"/>
      <c r="D89" s="618"/>
      <c r="E89" s="618"/>
      <c r="F89" s="618"/>
      <c r="G89" s="618"/>
      <c r="H89" s="618"/>
      <c r="I89" s="618"/>
    </row>
    <row r="90" spans="1:10" ht="15" customHeight="1" x14ac:dyDescent="0.25">
      <c r="A90" s="618" t="s">
        <v>218</v>
      </c>
      <c r="B90" s="618"/>
      <c r="C90" s="618"/>
      <c r="D90" s="618"/>
      <c r="E90" s="618"/>
      <c r="F90" s="618"/>
      <c r="G90" s="618"/>
      <c r="H90" s="618"/>
      <c r="I90" s="618"/>
    </row>
    <row r="91" spans="1:10" ht="15" customHeight="1" x14ac:dyDescent="0.25">
      <c r="A91" s="618" t="str">
        <f>A4</f>
        <v>Year Ending September 30, 2021</v>
      </c>
      <c r="B91" s="618"/>
      <c r="C91" s="618"/>
      <c r="D91" s="618"/>
      <c r="E91" s="618"/>
      <c r="F91" s="618"/>
      <c r="G91" s="618"/>
      <c r="H91" s="618"/>
      <c r="I91" s="618"/>
    </row>
    <row r="92" spans="1:10" ht="15" customHeight="1" x14ac:dyDescent="0.25">
      <c r="C92" s="75"/>
      <c r="E92" s="75"/>
      <c r="G92" s="75"/>
    </row>
    <row r="93" spans="1:10" ht="17.25" customHeight="1" x14ac:dyDescent="0.25">
      <c r="C93" s="619" t="s">
        <v>105</v>
      </c>
      <c r="D93" s="619"/>
      <c r="E93" s="619"/>
      <c r="F93" s="619"/>
      <c r="G93" s="619"/>
    </row>
    <row r="94" spans="1:10" ht="15" customHeight="1" x14ac:dyDescent="0.25">
      <c r="C94" s="79">
        <f>C7</f>
        <v>2019</v>
      </c>
      <c r="D94" s="80"/>
      <c r="E94" s="79">
        <f>E7</f>
        <v>2020</v>
      </c>
      <c r="F94" s="80"/>
      <c r="G94" s="79">
        <f>G7</f>
        <v>2021</v>
      </c>
    </row>
    <row r="95" spans="1:10" ht="17.25" customHeight="1" x14ac:dyDescent="0.25">
      <c r="C95" s="405" t="s">
        <v>81</v>
      </c>
      <c r="E95" s="407" t="s">
        <v>82</v>
      </c>
      <c r="G95" s="407" t="s">
        <v>83</v>
      </c>
    </row>
    <row r="96" spans="1:10" ht="15" customHeight="1" x14ac:dyDescent="0.25">
      <c r="A96" s="117" t="s">
        <v>7</v>
      </c>
      <c r="E96" s="385"/>
      <c r="G96" s="385"/>
    </row>
    <row r="97" spans="1:14" ht="15" customHeight="1" x14ac:dyDescent="0.25">
      <c r="A97" s="117" t="s">
        <v>123</v>
      </c>
      <c r="E97" s="385"/>
      <c r="G97" s="385"/>
    </row>
    <row r="98" spans="1:14" ht="15" customHeight="1" x14ac:dyDescent="0.25">
      <c r="A98" s="122" t="s">
        <v>460</v>
      </c>
      <c r="C98" s="382">
        <v>47800</v>
      </c>
      <c r="D98" s="85"/>
      <c r="E98" s="437">
        <f>'Estimating Schedule - GF'!I98</f>
        <v>49000</v>
      </c>
      <c r="F98" s="85"/>
      <c r="G98" s="382">
        <v>49000</v>
      </c>
      <c r="I98" s="466">
        <f t="shared" ref="I98:I116" si="4">+G98/E98-1</f>
        <v>0</v>
      </c>
      <c r="K98" s="475"/>
    </row>
    <row r="99" spans="1:14" ht="15" customHeight="1" x14ac:dyDescent="0.25">
      <c r="A99" s="122" t="s">
        <v>461</v>
      </c>
      <c r="C99" s="385">
        <f>80085-C98</f>
        <v>32285</v>
      </c>
      <c r="D99" s="85"/>
      <c r="E99" s="435">
        <f>'Estimating Schedule - GF'!I99</f>
        <v>28721</v>
      </c>
      <c r="F99" s="85"/>
      <c r="G99" s="385">
        <v>28700</v>
      </c>
      <c r="I99" s="466">
        <f t="shared" si="4"/>
        <v>-7.3117231294173024E-4</v>
      </c>
    </row>
    <row r="100" spans="1:14" ht="15" customHeight="1" x14ac:dyDescent="0.25">
      <c r="A100" s="122" t="s">
        <v>462</v>
      </c>
      <c r="C100" s="385">
        <v>12000</v>
      </c>
      <c r="E100" s="435">
        <f>'Estimating Schedule - GF'!I101</f>
        <v>12000</v>
      </c>
      <c r="G100" s="385">
        <v>12000</v>
      </c>
      <c r="I100" s="466">
        <f t="shared" si="4"/>
        <v>0</v>
      </c>
      <c r="K100" s="475"/>
    </row>
    <row r="101" spans="1:14" ht="15" customHeight="1" x14ac:dyDescent="0.25">
      <c r="A101" s="122" t="s">
        <v>248</v>
      </c>
      <c r="C101" s="385">
        <v>6033</v>
      </c>
      <c r="E101" s="480">
        <f>'Estimating Schedule - GF'!I102</f>
        <v>5758</v>
      </c>
      <c r="G101" s="385">
        <v>5700</v>
      </c>
      <c r="I101" s="466">
        <f t="shared" si="4"/>
        <v>-1.0072941993747864E-2</v>
      </c>
    </row>
    <row r="102" spans="1:14" ht="15" customHeight="1" x14ac:dyDescent="0.25">
      <c r="A102" s="122" t="s">
        <v>555</v>
      </c>
      <c r="C102" s="385">
        <v>9888</v>
      </c>
      <c r="E102" s="435">
        <f>'Estimating Schedule - GF'!I103</f>
        <v>14482</v>
      </c>
      <c r="G102" s="385">
        <v>14400</v>
      </c>
      <c r="I102" s="466">
        <f t="shared" si="4"/>
        <v>-5.6622013534042281E-3</v>
      </c>
      <c r="K102" s="475"/>
    </row>
    <row r="103" spans="1:14" ht="15" customHeight="1" x14ac:dyDescent="0.25">
      <c r="A103" s="122" t="s">
        <v>463</v>
      </c>
      <c r="C103" s="385">
        <v>6490</v>
      </c>
      <c r="E103" s="435">
        <f>'Estimating Schedule - GF'!I104</f>
        <v>1891</v>
      </c>
      <c r="G103" s="385">
        <v>1800</v>
      </c>
      <c r="I103" s="466">
        <f t="shared" si="4"/>
        <v>-4.812268640930728E-2</v>
      </c>
    </row>
    <row r="104" spans="1:14" ht="15" customHeight="1" x14ac:dyDescent="0.25">
      <c r="A104" s="122" t="s">
        <v>257</v>
      </c>
      <c r="C104" s="385">
        <v>2211</v>
      </c>
      <c r="E104" s="435">
        <f>'Estimating Schedule - GF'!I105</f>
        <v>2214</v>
      </c>
      <c r="G104" s="385">
        <v>2200</v>
      </c>
      <c r="I104" s="466">
        <f t="shared" si="4"/>
        <v>-6.3233965672989667E-3</v>
      </c>
    </row>
    <row r="105" spans="1:14" ht="15" customHeight="1" x14ac:dyDescent="0.25">
      <c r="A105" s="122" t="s">
        <v>236</v>
      </c>
      <c r="C105" s="385">
        <v>40936</v>
      </c>
      <c r="E105" s="435">
        <f>'Estimating Schedule - GF'!I106</f>
        <v>1595</v>
      </c>
      <c r="G105" s="385">
        <v>1600</v>
      </c>
      <c r="I105" s="466">
        <f t="shared" si="4"/>
        <v>3.1347962382444194E-3</v>
      </c>
    </row>
    <row r="106" spans="1:14" ht="15" customHeight="1" x14ac:dyDescent="0.25">
      <c r="A106" s="122" t="s">
        <v>256</v>
      </c>
      <c r="C106" s="385">
        <v>4653</v>
      </c>
      <c r="E106" s="435">
        <f>'Estimating Schedule - GF'!I107</f>
        <v>5208</v>
      </c>
      <c r="G106" s="385">
        <v>5200</v>
      </c>
      <c r="I106" s="466">
        <f t="shared" si="4"/>
        <v>-1.536098310291889E-3</v>
      </c>
    </row>
    <row r="107" spans="1:14" ht="15" customHeight="1" x14ac:dyDescent="0.25">
      <c r="A107" s="122" t="s">
        <v>464</v>
      </c>
      <c r="C107" s="385">
        <v>34357</v>
      </c>
      <c r="E107" s="435">
        <f>'Estimating Schedule - GF'!I108</f>
        <v>31933</v>
      </c>
      <c r="G107" s="385">
        <v>1200</v>
      </c>
      <c r="I107" s="466">
        <f t="shared" si="4"/>
        <v>-0.96242131963799205</v>
      </c>
      <c r="J107" s="385"/>
      <c r="L107" s="385"/>
      <c r="N107" s="385"/>
    </row>
    <row r="108" spans="1:14" ht="15" customHeight="1" x14ac:dyDescent="0.25">
      <c r="A108" s="122" t="s">
        <v>465</v>
      </c>
      <c r="C108" s="385">
        <f>46708-9888-18440</f>
        <v>18380</v>
      </c>
      <c r="E108" s="435">
        <f>'Estimating Schedule - GF'!I109</f>
        <v>21055</v>
      </c>
      <c r="G108" s="385">
        <v>20100</v>
      </c>
      <c r="I108" s="466">
        <f t="shared" si="4"/>
        <v>-4.5357397292804524E-2</v>
      </c>
    </row>
    <row r="109" spans="1:14" ht="15" customHeight="1" x14ac:dyDescent="0.25">
      <c r="A109" s="122" t="s">
        <v>571</v>
      </c>
      <c r="C109" s="385">
        <v>18440</v>
      </c>
      <c r="E109" s="435">
        <f>'Estimating Schedule - GF'!I110</f>
        <v>10216</v>
      </c>
      <c r="G109" s="385">
        <v>8500</v>
      </c>
      <c r="I109" s="466">
        <f t="shared" si="4"/>
        <v>-0.16797180892717312</v>
      </c>
    </row>
    <row r="110" spans="1:14" ht="15" customHeight="1" x14ac:dyDescent="0.25">
      <c r="A110" s="122" t="s">
        <v>466</v>
      </c>
      <c r="C110" s="385">
        <v>5687</v>
      </c>
      <c r="E110" s="435">
        <f>'Estimating Schedule - GF'!I111</f>
        <v>1342</v>
      </c>
      <c r="G110" s="385">
        <v>1400</v>
      </c>
      <c r="I110" s="466">
        <f t="shared" si="4"/>
        <v>4.3219076005961199E-2</v>
      </c>
      <c r="K110" s="92"/>
    </row>
    <row r="111" spans="1:14" ht="15" customHeight="1" x14ac:dyDescent="0.25">
      <c r="A111" s="122" t="s">
        <v>467</v>
      </c>
      <c r="C111" s="385">
        <v>1924</v>
      </c>
      <c r="E111" s="435">
        <f>'Estimating Schedule - GF'!I112</f>
        <v>1341</v>
      </c>
      <c r="G111" s="385">
        <v>1350</v>
      </c>
      <c r="I111" s="466">
        <f t="shared" si="4"/>
        <v>6.7114093959732557E-3</v>
      </c>
    </row>
    <row r="112" spans="1:14" ht="15" customHeight="1" x14ac:dyDescent="0.25">
      <c r="A112" s="122" t="s">
        <v>468</v>
      </c>
      <c r="C112" s="385">
        <v>2000</v>
      </c>
      <c r="E112" s="435">
        <f>'Estimating Schedule - GF'!I113</f>
        <v>4850</v>
      </c>
      <c r="G112" s="385">
        <v>3000</v>
      </c>
      <c r="I112" s="466">
        <f t="shared" si="4"/>
        <v>-0.38144329896907214</v>
      </c>
    </row>
    <row r="113" spans="1:16" ht="15" customHeight="1" x14ac:dyDescent="0.25">
      <c r="A113" s="122" t="s">
        <v>469</v>
      </c>
      <c r="C113" s="361">
        <v>2810</v>
      </c>
      <c r="E113" s="435">
        <f>'Estimating Schedule - GF'!I114</f>
        <v>2669</v>
      </c>
      <c r="G113" s="385">
        <v>2670</v>
      </c>
      <c r="I113" s="466">
        <f t="shared" si="4"/>
        <v>3.7467216185826935E-4</v>
      </c>
    </row>
    <row r="114" spans="1:16" ht="15" customHeight="1" x14ac:dyDescent="0.25">
      <c r="A114" s="122" t="s">
        <v>564</v>
      </c>
      <c r="C114" s="361">
        <v>0</v>
      </c>
      <c r="E114" s="435">
        <f>'Estimating Schedule - GF'!I116</f>
        <v>21800</v>
      </c>
      <c r="G114" s="385">
        <v>5000</v>
      </c>
      <c r="I114" s="466">
        <f t="shared" si="4"/>
        <v>-0.77064220183486243</v>
      </c>
    </row>
    <row r="115" spans="1:16" ht="17.25" customHeight="1" x14ac:dyDescent="0.4">
      <c r="A115" s="122" t="s">
        <v>258</v>
      </c>
      <c r="C115" s="386">
        <v>8769</v>
      </c>
      <c r="E115" s="432">
        <f>'Estimating Schedule - GF'!I117</f>
        <v>8901</v>
      </c>
      <c r="G115" s="386">
        <v>9000</v>
      </c>
      <c r="I115" s="467">
        <f t="shared" si="4"/>
        <v>1.1122345803842304E-2</v>
      </c>
    </row>
    <row r="116" spans="1:16" ht="17.25" customHeight="1" x14ac:dyDescent="0.4">
      <c r="A116" s="388" t="s">
        <v>261</v>
      </c>
      <c r="C116" s="432">
        <f>SUM(C98:C115)</f>
        <v>254663</v>
      </c>
      <c r="D116" s="465"/>
      <c r="E116" s="432">
        <f>SUM(E98:E115)</f>
        <v>224976</v>
      </c>
      <c r="F116" s="465"/>
      <c r="G116" s="432">
        <f>SUM(G98:G115)</f>
        <v>172820</v>
      </c>
      <c r="H116" s="465"/>
      <c r="I116" s="467">
        <f t="shared" si="4"/>
        <v>-0.23182917288955263</v>
      </c>
      <c r="J116" s="92"/>
      <c r="K116" s="92"/>
      <c r="L116" s="92">
        <f>E116-'Estimating Schedule - GF'!I118</f>
        <v>0</v>
      </c>
      <c r="O116" s="92"/>
    </row>
    <row r="117" spans="1:16" ht="6" customHeight="1" x14ac:dyDescent="0.25">
      <c r="C117" s="385"/>
      <c r="E117" s="385"/>
      <c r="G117" s="385"/>
      <c r="I117" s="465"/>
    </row>
    <row r="118" spans="1:16" ht="15" customHeight="1" x14ac:dyDescent="0.25">
      <c r="A118" s="117" t="s">
        <v>135</v>
      </c>
      <c r="C118" s="385"/>
      <c r="E118" s="385"/>
      <c r="G118" s="385"/>
      <c r="I118" s="465"/>
    </row>
    <row r="119" spans="1:16" ht="15" customHeight="1" x14ac:dyDescent="0.25">
      <c r="A119" s="122" t="s">
        <v>246</v>
      </c>
      <c r="C119" s="385">
        <v>40000</v>
      </c>
      <c r="E119" s="435">
        <f>'Estimating Schedule - GF'!I121</f>
        <v>40000</v>
      </c>
      <c r="F119" s="385"/>
      <c r="G119" s="385">
        <v>40000</v>
      </c>
      <c r="I119" s="466">
        <f t="shared" ref="I119:I144" si="5">+G119/E119-1</f>
        <v>0</v>
      </c>
      <c r="J119" s="385"/>
      <c r="K119" s="385"/>
    </row>
    <row r="120" spans="1:16" ht="15" customHeight="1" x14ac:dyDescent="0.25">
      <c r="A120" s="122" t="s">
        <v>247</v>
      </c>
      <c r="C120" s="385">
        <f>579720-40000</f>
        <v>539720</v>
      </c>
      <c r="E120" s="435">
        <f>'Estimating Schedule - GF'!I122</f>
        <v>537911</v>
      </c>
      <c r="F120" s="385"/>
      <c r="G120" s="385">
        <f>495000+50000</f>
        <v>545000</v>
      </c>
      <c r="H120" s="92"/>
      <c r="I120" s="466">
        <f t="shared" si="5"/>
        <v>1.3178760055102101E-2</v>
      </c>
      <c r="J120" s="385"/>
      <c r="K120" s="385"/>
    </row>
    <row r="121" spans="1:16" x14ac:dyDescent="0.25">
      <c r="A121" s="122" t="s">
        <v>459</v>
      </c>
      <c r="C121" s="385">
        <v>0</v>
      </c>
      <c r="E121" s="435">
        <v>0</v>
      </c>
      <c r="F121" s="385"/>
      <c r="G121" s="385">
        <v>0</v>
      </c>
      <c r="H121" s="92"/>
      <c r="I121" s="466">
        <v>0</v>
      </c>
      <c r="J121" s="385"/>
      <c r="K121" s="385"/>
    </row>
    <row r="122" spans="1:16" ht="15" customHeight="1" x14ac:dyDescent="0.25">
      <c r="A122" s="122" t="s">
        <v>248</v>
      </c>
      <c r="C122" s="385">
        <v>44572</v>
      </c>
      <c r="E122" s="435">
        <f>'Estimating Schedule - GF'!I124</f>
        <v>45490</v>
      </c>
      <c r="G122" s="385">
        <v>45500</v>
      </c>
      <c r="I122" s="466">
        <f t="shared" si="5"/>
        <v>2.1982853374358235E-4</v>
      </c>
      <c r="J122" s="583">
        <f>C122/(C120+C119)</f>
        <v>7.6885392948319878E-2</v>
      </c>
      <c r="K122" s="385"/>
      <c r="L122" s="583">
        <f>E122/(E120+E119)</f>
        <v>7.8714542550669564E-2</v>
      </c>
      <c r="N122" s="583">
        <f>G122/(G120+G119)</f>
        <v>7.7777777777777779E-2</v>
      </c>
    </row>
    <row r="123" spans="1:16" ht="15" customHeight="1" x14ac:dyDescent="0.25">
      <c r="A123" s="122" t="s">
        <v>249</v>
      </c>
      <c r="C123" s="385">
        <v>67989</v>
      </c>
      <c r="E123" s="435">
        <f>'Estimating Schedule - GF'!I125</f>
        <v>83138</v>
      </c>
      <c r="G123" s="385">
        <v>83500</v>
      </c>
      <c r="I123" s="466">
        <f t="shared" si="5"/>
        <v>4.3542062594721376E-3</v>
      </c>
      <c r="J123" s="385"/>
      <c r="K123" s="385"/>
    </row>
    <row r="124" spans="1:16" ht="15" customHeight="1" x14ac:dyDescent="0.25">
      <c r="A124" s="122" t="s">
        <v>362</v>
      </c>
      <c r="C124" s="385">
        <v>26953</v>
      </c>
      <c r="E124" s="435">
        <f>'Estimating Schedule - GF'!I126</f>
        <v>19576</v>
      </c>
      <c r="G124" s="385">
        <v>19700</v>
      </c>
      <c r="I124" s="466">
        <f t="shared" si="5"/>
        <v>6.3342868818963005E-3</v>
      </c>
      <c r="J124" s="385"/>
      <c r="K124" s="385"/>
    </row>
    <row r="125" spans="1:16" ht="15" customHeight="1" x14ac:dyDescent="0.25">
      <c r="A125" s="122" t="s">
        <v>251</v>
      </c>
      <c r="C125" s="385">
        <v>23055</v>
      </c>
      <c r="E125" s="435">
        <f>'Estimating Schedule - GF'!I127</f>
        <v>1772</v>
      </c>
      <c r="G125" s="385">
        <v>2000</v>
      </c>
      <c r="I125" s="466">
        <f t="shared" si="5"/>
        <v>0.12866817155756216</v>
      </c>
      <c r="J125" s="385"/>
      <c r="K125" s="385"/>
    </row>
    <row r="126" spans="1:16" ht="15" customHeight="1" x14ac:dyDescent="0.25">
      <c r="A126" s="122" t="s">
        <v>252</v>
      </c>
      <c r="C126" s="385">
        <v>28419</v>
      </c>
      <c r="E126" s="435">
        <f>'Estimating Schedule - GF'!I128</f>
        <v>7552</v>
      </c>
      <c r="G126" s="385">
        <v>8000</v>
      </c>
      <c r="I126" s="466">
        <f t="shared" si="5"/>
        <v>5.9322033898305149E-2</v>
      </c>
      <c r="J126" s="385"/>
      <c r="K126" s="385"/>
      <c r="P126" s="385"/>
    </row>
    <row r="127" spans="1:16" ht="15" customHeight="1" x14ac:dyDescent="0.25">
      <c r="A127" s="122" t="s">
        <v>441</v>
      </c>
      <c r="C127" s="385">
        <v>856</v>
      </c>
      <c r="E127" s="435">
        <f>'Estimating Schedule - GF'!I129</f>
        <v>436</v>
      </c>
      <c r="G127" s="385">
        <v>450</v>
      </c>
      <c r="I127" s="466">
        <f t="shared" si="5"/>
        <v>3.2110091743119185E-2</v>
      </c>
      <c r="J127" s="385"/>
      <c r="K127" s="385"/>
      <c r="P127" s="387"/>
    </row>
    <row r="128" spans="1:16" ht="15" customHeight="1" x14ac:dyDescent="0.25">
      <c r="A128" s="122" t="s">
        <v>244</v>
      </c>
      <c r="C128" s="385">
        <f>12556-C129</f>
        <v>11160</v>
      </c>
      <c r="E128" s="435">
        <f>'Estimating Schedule - GF'!I130</f>
        <v>11629</v>
      </c>
      <c r="G128" s="385">
        <v>15500</v>
      </c>
      <c r="I128" s="466">
        <f t="shared" si="5"/>
        <v>0.33287470977728084</v>
      </c>
      <c r="J128" s="385"/>
      <c r="K128" s="385"/>
      <c r="P128" s="385"/>
    </row>
    <row r="129" spans="1:16" ht="15" customHeight="1" x14ac:dyDescent="0.25">
      <c r="A129" s="122" t="s">
        <v>243</v>
      </c>
      <c r="C129" s="385">
        <v>1396</v>
      </c>
      <c r="E129" s="435">
        <f>'Estimating Schedule - GF'!I131</f>
        <v>8861</v>
      </c>
      <c r="G129" s="385">
        <v>4500</v>
      </c>
      <c r="I129" s="466">
        <f t="shared" si="5"/>
        <v>-0.49215664146258886</v>
      </c>
      <c r="J129" s="385"/>
      <c r="K129" s="385"/>
      <c r="L129" s="92"/>
      <c r="P129" s="385"/>
    </row>
    <row r="130" spans="1:16" ht="15" customHeight="1" x14ac:dyDescent="0.25">
      <c r="A130" s="122" t="s">
        <v>253</v>
      </c>
      <c r="C130" s="385">
        <f>1148+1108</f>
        <v>2256</v>
      </c>
      <c r="E130" s="435">
        <f>'Estimating Schedule - GF'!I132</f>
        <v>1534</v>
      </c>
      <c r="G130" s="385">
        <v>1600</v>
      </c>
      <c r="I130" s="466">
        <f t="shared" si="5"/>
        <v>4.3024771838331199E-2</v>
      </c>
      <c r="J130" s="385"/>
      <c r="K130" s="385"/>
      <c r="P130" s="385"/>
    </row>
    <row r="131" spans="1:16" ht="15" customHeight="1" x14ac:dyDescent="0.25">
      <c r="A131" s="122" t="s">
        <v>345</v>
      </c>
      <c r="C131" s="385">
        <v>9971</v>
      </c>
      <c r="E131" s="435">
        <f>'Estimating Schedule - GF'!I133</f>
        <v>3614</v>
      </c>
      <c r="G131" s="385">
        <v>3000</v>
      </c>
      <c r="I131" s="466">
        <f t="shared" si="5"/>
        <v>-0.16989485334809074</v>
      </c>
      <c r="J131" s="385"/>
      <c r="K131" s="385"/>
      <c r="P131" s="385"/>
    </row>
    <row r="132" spans="1:16" ht="15" customHeight="1" x14ac:dyDescent="0.25">
      <c r="A132" s="122" t="s">
        <v>277</v>
      </c>
      <c r="C132" s="385">
        <v>3466</v>
      </c>
      <c r="E132" s="435">
        <f>'Estimating Schedule - GF'!I134</f>
        <v>3299</v>
      </c>
      <c r="G132" s="385">
        <v>3200</v>
      </c>
      <c r="I132" s="466">
        <f t="shared" si="5"/>
        <v>-3.0009093664746911E-2</v>
      </c>
      <c r="J132" s="385"/>
      <c r="K132" s="385"/>
      <c r="P132" s="385"/>
    </row>
    <row r="133" spans="1:16" ht="15" customHeight="1" x14ac:dyDescent="0.25">
      <c r="A133" s="122" t="s">
        <v>254</v>
      </c>
      <c r="C133" s="385">
        <v>3815</v>
      </c>
      <c r="E133" s="435">
        <f>'Estimating Schedule - GF'!I135</f>
        <v>4463</v>
      </c>
      <c r="G133" s="385">
        <v>4500</v>
      </c>
      <c r="I133" s="466">
        <f t="shared" si="5"/>
        <v>8.2903876316378078E-3</v>
      </c>
      <c r="J133" s="385"/>
      <c r="K133" s="385"/>
      <c r="P133" s="385"/>
    </row>
    <row r="134" spans="1:16" ht="15" customHeight="1" x14ac:dyDescent="0.25">
      <c r="A134" s="122" t="s">
        <v>255</v>
      </c>
      <c r="C134" s="385">
        <v>13697</v>
      </c>
      <c r="E134" s="435">
        <f>'Estimating Schedule - GF'!I136</f>
        <v>21012</v>
      </c>
      <c r="G134" s="385">
        <v>18500</v>
      </c>
      <c r="I134" s="466">
        <f t="shared" si="5"/>
        <v>-0.119550732914525</v>
      </c>
      <c r="J134" s="385"/>
      <c r="K134" s="385"/>
      <c r="P134" s="385"/>
    </row>
    <row r="135" spans="1:16" ht="15" customHeight="1" x14ac:dyDescent="0.25">
      <c r="A135" s="122" t="s">
        <v>256</v>
      </c>
      <c r="C135" s="385">
        <f>18949-1000</f>
        <v>17949</v>
      </c>
      <c r="E135" s="435">
        <f>'Estimating Schedule - GF'!I137</f>
        <v>20088</v>
      </c>
      <c r="G135" s="385">
        <v>20100</v>
      </c>
      <c r="I135" s="466">
        <f t="shared" si="5"/>
        <v>5.9737156511352474E-4</v>
      </c>
      <c r="J135" s="385"/>
      <c r="K135" s="385"/>
      <c r="P135" s="385"/>
    </row>
    <row r="136" spans="1:16" ht="15" customHeight="1" x14ac:dyDescent="0.25">
      <c r="A136" s="122" t="s">
        <v>380</v>
      </c>
      <c r="C136" s="385">
        <v>1000</v>
      </c>
      <c r="E136" s="435">
        <f>'Estimating Schedule - GF'!I138</f>
        <v>0</v>
      </c>
      <c r="F136" s="387"/>
      <c r="G136" s="385">
        <v>0</v>
      </c>
      <c r="I136" s="466">
        <v>0</v>
      </c>
      <c r="J136" s="385"/>
      <c r="K136" s="385"/>
      <c r="P136" s="385"/>
    </row>
    <row r="137" spans="1:16" ht="15" customHeight="1" x14ac:dyDescent="0.25">
      <c r="A137" s="122" t="s">
        <v>257</v>
      </c>
      <c r="C137" s="385">
        <v>6029</v>
      </c>
      <c r="E137" s="435">
        <f>'Estimating Schedule - GF'!I139</f>
        <v>6587</v>
      </c>
      <c r="G137" s="385">
        <v>6600</v>
      </c>
      <c r="I137" s="466">
        <f t="shared" si="5"/>
        <v>1.9735843327766123E-3</v>
      </c>
      <c r="J137" s="385"/>
      <c r="K137" s="385"/>
      <c r="P137" s="385"/>
    </row>
    <row r="138" spans="1:16" ht="15" customHeight="1" x14ac:dyDescent="0.25">
      <c r="A138" s="122" t="s">
        <v>278</v>
      </c>
      <c r="C138" s="385">
        <v>2161</v>
      </c>
      <c r="E138" s="435">
        <f>'Estimating Schedule - GF'!I140</f>
        <v>2453</v>
      </c>
      <c r="G138" s="385">
        <v>2500</v>
      </c>
      <c r="I138" s="466">
        <f t="shared" si="5"/>
        <v>1.9160211985324027E-2</v>
      </c>
      <c r="J138" s="385"/>
      <c r="K138" s="385"/>
      <c r="P138" s="385"/>
    </row>
    <row r="139" spans="1:16" ht="15" customHeight="1" x14ac:dyDescent="0.25">
      <c r="A139" s="122" t="s">
        <v>258</v>
      </c>
      <c r="C139" s="385">
        <v>3550</v>
      </c>
      <c r="E139" s="435">
        <f>'Estimating Schedule - GF'!I141</f>
        <v>4445</v>
      </c>
      <c r="F139" s="385"/>
      <c r="G139" s="385">
        <v>4450</v>
      </c>
      <c r="I139" s="466">
        <f t="shared" si="5"/>
        <v>1.1248593925758943E-3</v>
      </c>
      <c r="J139" s="385"/>
      <c r="K139" s="385"/>
      <c r="P139" s="385"/>
    </row>
    <row r="140" spans="1:16" ht="15" customHeight="1" x14ac:dyDescent="0.25">
      <c r="A140" s="122" t="s">
        <v>301</v>
      </c>
      <c r="C140" s="385">
        <v>20238</v>
      </c>
      <c r="E140" s="435">
        <f>'Estimating Schedule - GF'!I142</f>
        <v>10367</v>
      </c>
      <c r="G140" s="385">
        <v>20200</v>
      </c>
      <c r="I140" s="466">
        <f t="shared" si="5"/>
        <v>0.94849040223787018</v>
      </c>
      <c r="J140" s="385"/>
      <c r="K140" s="385"/>
      <c r="P140" s="385"/>
    </row>
    <row r="141" spans="1:16" ht="15" customHeight="1" x14ac:dyDescent="0.25">
      <c r="A141" s="122" t="s">
        <v>346</v>
      </c>
      <c r="C141" s="385">
        <v>500</v>
      </c>
      <c r="E141" s="435">
        <f>'Estimating Schedule - GF'!I143</f>
        <v>0</v>
      </c>
      <c r="G141" s="385">
        <v>500</v>
      </c>
      <c r="I141" s="466">
        <v>1</v>
      </c>
      <c r="J141" s="385"/>
      <c r="K141" s="385"/>
      <c r="P141" s="385"/>
    </row>
    <row r="142" spans="1:16" ht="15" customHeight="1" x14ac:dyDescent="0.25">
      <c r="A142" s="122" t="s">
        <v>379</v>
      </c>
      <c r="C142" s="385">
        <v>3329</v>
      </c>
      <c r="E142" s="435">
        <f>'Estimating Schedule - GF'!I144</f>
        <v>1073</v>
      </c>
      <c r="F142" s="387"/>
      <c r="G142" s="385">
        <v>1100</v>
      </c>
      <c r="I142" s="466">
        <f t="shared" si="5"/>
        <v>2.5163094128611396E-2</v>
      </c>
      <c r="J142" s="385"/>
      <c r="K142" s="385"/>
      <c r="P142" s="385"/>
    </row>
    <row r="143" spans="1:16" ht="17.25" customHeight="1" x14ac:dyDescent="0.4">
      <c r="A143" s="122" t="s">
        <v>259</v>
      </c>
      <c r="C143" s="386">
        <v>2085</v>
      </c>
      <c r="E143" s="432">
        <f>'Estimating Schedule - GF'!I145</f>
        <v>2140</v>
      </c>
      <c r="F143" s="83"/>
      <c r="G143" s="386">
        <v>1500</v>
      </c>
      <c r="I143" s="481">
        <f t="shared" si="5"/>
        <v>-0.2990654205607477</v>
      </c>
      <c r="J143" s="385"/>
      <c r="K143" s="385"/>
      <c r="P143" s="385"/>
    </row>
    <row r="144" spans="1:16" ht="17.25" customHeight="1" x14ac:dyDescent="0.4">
      <c r="A144" s="388" t="s">
        <v>260</v>
      </c>
      <c r="C144" s="432">
        <f>SUM(C119:C143)</f>
        <v>874166</v>
      </c>
      <c r="D144" s="468"/>
      <c r="E144" s="432">
        <f>SUM(E119:E143)</f>
        <v>837440</v>
      </c>
      <c r="F144" s="482">
        <v>0</v>
      </c>
      <c r="G144" s="432">
        <f>SUM(G119:G143)</f>
        <v>851900</v>
      </c>
      <c r="H144" s="465"/>
      <c r="I144" s="481">
        <f t="shared" si="5"/>
        <v>1.7266908674054227E-2</v>
      </c>
      <c r="J144" s="385">
        <f>C144-874166</f>
        <v>0</v>
      </c>
      <c r="K144" s="385"/>
      <c r="L144" s="92"/>
      <c r="P144" s="385"/>
    </row>
    <row r="145" spans="1:16" ht="15" customHeight="1" x14ac:dyDescent="0.4">
      <c r="A145" s="388"/>
      <c r="C145" s="386"/>
      <c r="D145" s="87"/>
      <c r="E145" s="386"/>
      <c r="F145" s="374"/>
      <c r="G145" s="479"/>
      <c r="I145" s="479" t="s">
        <v>230</v>
      </c>
      <c r="K145" s="92"/>
      <c r="P145" s="385"/>
    </row>
    <row r="146" spans="1:16" ht="15" customHeight="1" x14ac:dyDescent="0.25">
      <c r="A146" s="618" t="s">
        <v>45</v>
      </c>
      <c r="B146" s="618"/>
      <c r="C146" s="618"/>
      <c r="D146" s="618"/>
      <c r="E146" s="618"/>
      <c r="F146" s="618"/>
      <c r="G146" s="618"/>
      <c r="H146" s="618"/>
      <c r="I146" s="618"/>
      <c r="P146" s="385"/>
    </row>
    <row r="147" spans="1:16" ht="15" customHeight="1" x14ac:dyDescent="0.25">
      <c r="A147" s="618" t="s">
        <v>216</v>
      </c>
      <c r="B147" s="618"/>
      <c r="C147" s="618"/>
      <c r="D147" s="618"/>
      <c r="E147" s="618"/>
      <c r="F147" s="618"/>
      <c r="G147" s="618"/>
      <c r="H147" s="618"/>
      <c r="I147" s="618"/>
      <c r="P147" s="385"/>
    </row>
    <row r="148" spans="1:16" ht="15" customHeight="1" x14ac:dyDescent="0.25">
      <c r="A148" s="618" t="s">
        <v>219</v>
      </c>
      <c r="B148" s="618"/>
      <c r="C148" s="618"/>
      <c r="D148" s="618"/>
      <c r="E148" s="618"/>
      <c r="F148" s="618"/>
      <c r="G148" s="618"/>
      <c r="H148" s="618"/>
      <c r="I148" s="618"/>
    </row>
    <row r="149" spans="1:16" ht="15" customHeight="1" x14ac:dyDescent="0.25">
      <c r="A149" s="618" t="str">
        <f>A4</f>
        <v>Year Ending September 30, 2021</v>
      </c>
      <c r="B149" s="618"/>
      <c r="C149" s="618"/>
      <c r="D149" s="618"/>
      <c r="E149" s="618"/>
      <c r="F149" s="618"/>
      <c r="G149" s="618"/>
      <c r="H149" s="618"/>
      <c r="I149" s="618"/>
    </row>
    <row r="150" spans="1:16" ht="15" customHeight="1" x14ac:dyDescent="0.25"/>
    <row r="151" spans="1:16" ht="17.25" customHeight="1" x14ac:dyDescent="0.25">
      <c r="C151" s="620" t="s">
        <v>105</v>
      </c>
      <c r="D151" s="620"/>
      <c r="E151" s="620"/>
      <c r="F151" s="620"/>
      <c r="G151" s="620"/>
    </row>
    <row r="152" spans="1:16" ht="15" customHeight="1" x14ac:dyDescent="0.25">
      <c r="C152" s="79">
        <f>C7</f>
        <v>2019</v>
      </c>
      <c r="D152" s="80"/>
      <c r="E152" s="79">
        <f>E7</f>
        <v>2020</v>
      </c>
      <c r="F152" s="80"/>
      <c r="G152" s="79">
        <f>G7</f>
        <v>2021</v>
      </c>
      <c r="I152" s="123" t="s">
        <v>363</v>
      </c>
    </row>
    <row r="153" spans="1:16" ht="17.25" customHeight="1" x14ac:dyDescent="0.25">
      <c r="C153" s="407" t="s">
        <v>81</v>
      </c>
      <c r="E153" s="407" t="s">
        <v>82</v>
      </c>
      <c r="G153" s="407" t="s">
        <v>83</v>
      </c>
      <c r="I153" s="483" t="s">
        <v>364</v>
      </c>
    </row>
    <row r="154" spans="1:16" ht="15" customHeight="1" x14ac:dyDescent="0.25">
      <c r="A154" s="117" t="s">
        <v>358</v>
      </c>
    </row>
    <row r="155" spans="1:16" ht="15" customHeight="1" x14ac:dyDescent="0.25">
      <c r="A155" s="122" t="s">
        <v>347</v>
      </c>
      <c r="C155" s="385">
        <v>18506</v>
      </c>
      <c r="D155" s="85"/>
      <c r="E155" s="435">
        <f>'Estimating Schedule - GF'!I158</f>
        <v>28080</v>
      </c>
      <c r="F155" s="85"/>
      <c r="G155" s="289">
        <v>28080</v>
      </c>
      <c r="I155" s="466">
        <f>+G155/E155-1</f>
        <v>0</v>
      </c>
      <c r="J155" s="92"/>
      <c r="K155" s="484"/>
    </row>
    <row r="156" spans="1:16" ht="15" customHeight="1" x14ac:dyDescent="0.25">
      <c r="A156" s="122" t="s">
        <v>349</v>
      </c>
      <c r="C156" s="385">
        <v>1379</v>
      </c>
      <c r="D156" s="85"/>
      <c r="E156" s="435">
        <f>'Estimating Schedule - GF'!I159</f>
        <v>2148</v>
      </c>
      <c r="F156" s="85"/>
      <c r="G156" s="289">
        <v>2150</v>
      </c>
      <c r="I156" s="466">
        <f t="shared" ref="I156:I181" si="6">+G156/E156-1</f>
        <v>9.3109869646190724E-4</v>
      </c>
      <c r="J156" s="485"/>
      <c r="K156" s="484"/>
    </row>
    <row r="157" spans="1:16" ht="15" customHeight="1" x14ac:dyDescent="0.25">
      <c r="A157" s="122" t="s">
        <v>350</v>
      </c>
      <c r="C157" s="385">
        <v>16470</v>
      </c>
      <c r="E157" s="435">
        <f>'Estimating Schedule - GF'!I160</f>
        <v>13028</v>
      </c>
      <c r="G157" s="486">
        <v>13163</v>
      </c>
      <c r="I157" s="466">
        <f t="shared" si="6"/>
        <v>1.0362296591955866E-2</v>
      </c>
      <c r="K157" s="484"/>
    </row>
    <row r="158" spans="1:16" ht="15" customHeight="1" x14ac:dyDescent="0.25">
      <c r="A158" s="122" t="s">
        <v>470</v>
      </c>
      <c r="C158" s="361">
        <v>0</v>
      </c>
      <c r="D158" s="387"/>
      <c r="E158" s="447">
        <v>0</v>
      </c>
      <c r="F158" s="387"/>
      <c r="G158" s="289">
        <v>0</v>
      </c>
      <c r="I158" s="466">
        <v>0</v>
      </c>
      <c r="K158" s="484"/>
    </row>
    <row r="159" spans="1:16" ht="15" customHeight="1" x14ac:dyDescent="0.25">
      <c r="A159" s="122" t="s">
        <v>351</v>
      </c>
      <c r="C159" s="361">
        <v>1260</v>
      </c>
      <c r="E159" s="435">
        <f>'Estimating Schedule - GF'!I162</f>
        <v>1016</v>
      </c>
      <c r="G159" s="486">
        <v>1016</v>
      </c>
      <c r="I159" s="466">
        <f t="shared" si="6"/>
        <v>0</v>
      </c>
      <c r="K159" s="484"/>
    </row>
    <row r="160" spans="1:16" ht="15" customHeight="1" x14ac:dyDescent="0.25">
      <c r="A160" s="122" t="s">
        <v>386</v>
      </c>
      <c r="C160" s="385">
        <v>22239</v>
      </c>
      <c r="E160" s="435">
        <f>'Estimating Schedule - GF'!I163</f>
        <v>21593</v>
      </c>
      <c r="G160" s="486">
        <v>21840</v>
      </c>
      <c r="I160" s="466">
        <f t="shared" si="6"/>
        <v>1.1438892233594178E-2</v>
      </c>
      <c r="J160" s="92">
        <f>+C157+C160+C155</f>
        <v>57215</v>
      </c>
      <c r="K160" s="484"/>
      <c r="L160" s="92">
        <f>+C160+C157</f>
        <v>38709</v>
      </c>
    </row>
    <row r="161" spans="1:14" ht="15" customHeight="1" x14ac:dyDescent="0.25">
      <c r="A161" s="122" t="s">
        <v>471</v>
      </c>
      <c r="C161" s="387">
        <v>0</v>
      </c>
      <c r="D161" s="387"/>
      <c r="E161" s="447">
        <v>0</v>
      </c>
      <c r="F161" s="387"/>
      <c r="G161" s="289">
        <v>0</v>
      </c>
      <c r="I161" s="466">
        <v>0</v>
      </c>
      <c r="K161" s="484"/>
      <c r="L161" s="487">
        <f>+C159+C162</f>
        <v>2961</v>
      </c>
    </row>
    <row r="162" spans="1:14" ht="15" customHeight="1" x14ac:dyDescent="0.25">
      <c r="A162" s="122" t="s">
        <v>385</v>
      </c>
      <c r="C162" s="361">
        <v>1701</v>
      </c>
      <c r="E162" s="435">
        <f>'Estimating Schedule - GF'!I165</f>
        <v>1642</v>
      </c>
      <c r="G162" s="289">
        <v>1645</v>
      </c>
      <c r="I162" s="466">
        <f t="shared" si="6"/>
        <v>1.8270401948843329E-3</v>
      </c>
      <c r="K162" s="484"/>
    </row>
    <row r="163" spans="1:14" ht="15" customHeight="1" x14ac:dyDescent="0.25">
      <c r="A163" s="122" t="s">
        <v>352</v>
      </c>
      <c r="C163" s="385">
        <v>2829</v>
      </c>
      <c r="E163" s="435">
        <f>'Estimating Schedule - GF'!I166</f>
        <v>3917</v>
      </c>
      <c r="G163" s="289">
        <v>3950</v>
      </c>
      <c r="I163" s="466">
        <f t="shared" si="6"/>
        <v>8.4248149093693048E-3</v>
      </c>
      <c r="J163" s="92">
        <f>C164-2619</f>
        <v>26</v>
      </c>
      <c r="K163" s="484"/>
    </row>
    <row r="164" spans="1:14" ht="15" customHeight="1" x14ac:dyDescent="0.25">
      <c r="A164" s="122" t="s">
        <v>242</v>
      </c>
      <c r="C164" s="385">
        <f>2619+26</f>
        <v>2645</v>
      </c>
      <c r="E164" s="435">
        <f>'Estimating Schedule - GF'!I167</f>
        <v>3366</v>
      </c>
      <c r="G164" s="289">
        <v>2000</v>
      </c>
      <c r="I164" s="466">
        <f t="shared" si="6"/>
        <v>-0.40582293523469992</v>
      </c>
      <c r="J164" s="92"/>
      <c r="K164" s="484"/>
    </row>
    <row r="165" spans="1:14" ht="15" customHeight="1" x14ac:dyDescent="0.25">
      <c r="A165" s="122" t="s">
        <v>458</v>
      </c>
      <c r="C165" s="464">
        <v>0</v>
      </c>
      <c r="D165" s="387"/>
      <c r="E165" s="447">
        <v>0</v>
      </c>
      <c r="F165" s="387"/>
      <c r="G165" s="289">
        <v>0</v>
      </c>
      <c r="I165" s="466">
        <v>0</v>
      </c>
      <c r="J165" s="92"/>
      <c r="K165" s="484"/>
    </row>
    <row r="166" spans="1:14" ht="15" customHeight="1" x14ac:dyDescent="0.25">
      <c r="A166" s="122" t="s">
        <v>372</v>
      </c>
      <c r="C166" s="385"/>
      <c r="E166" s="435"/>
      <c r="G166" s="289"/>
      <c r="I166" s="466"/>
      <c r="J166" s="92"/>
      <c r="K166" s="385"/>
      <c r="N166" s="258"/>
    </row>
    <row r="167" spans="1:14" ht="15" customHeight="1" x14ac:dyDescent="0.25">
      <c r="A167" s="258" t="s">
        <v>374</v>
      </c>
      <c r="C167" s="385">
        <v>29015</v>
      </c>
      <c r="E167" s="435">
        <f>'Estimating Schedule - GF'!I169</f>
        <v>27910</v>
      </c>
      <c r="G167" s="289">
        <v>29500</v>
      </c>
      <c r="I167" s="466">
        <f t="shared" si="6"/>
        <v>5.6968828376925851E-2</v>
      </c>
      <c r="K167" s="484"/>
    </row>
    <row r="168" spans="1:14" ht="15" customHeight="1" x14ac:dyDescent="0.25">
      <c r="A168" s="258" t="s">
        <v>378</v>
      </c>
      <c r="C168" s="361">
        <v>2220</v>
      </c>
      <c r="E168" s="435">
        <f>'Estimating Schedule - GF'!I170</f>
        <v>2135</v>
      </c>
      <c r="G168" s="289">
        <v>2250</v>
      </c>
      <c r="I168" s="466">
        <f t="shared" si="6"/>
        <v>5.3864168618267039E-2</v>
      </c>
      <c r="J168" s="469"/>
      <c r="K168" s="387"/>
    </row>
    <row r="169" spans="1:14" ht="15" customHeight="1" x14ac:dyDescent="0.25">
      <c r="A169" s="258" t="s">
        <v>255</v>
      </c>
      <c r="C169" s="385">
        <v>3509</v>
      </c>
      <c r="E169" s="435">
        <f>'Estimating Schedule - GF'!I171</f>
        <v>2849</v>
      </c>
      <c r="G169" s="289">
        <v>2500</v>
      </c>
      <c r="I169" s="466">
        <f t="shared" si="6"/>
        <v>-0.12249912249912254</v>
      </c>
      <c r="K169" s="484"/>
    </row>
    <row r="170" spans="1:14" ht="15" customHeight="1" x14ac:dyDescent="0.25">
      <c r="A170" s="258" t="s">
        <v>354</v>
      </c>
      <c r="C170" s="361">
        <v>1269</v>
      </c>
      <c r="E170" s="435">
        <f>'Estimating Schedule - GF'!I172</f>
        <v>2033</v>
      </c>
      <c r="G170" s="289">
        <v>1000</v>
      </c>
      <c r="I170" s="466">
        <f t="shared" si="6"/>
        <v>-0.50811608460403346</v>
      </c>
      <c r="K170" s="484"/>
    </row>
    <row r="171" spans="1:14" ht="15" customHeight="1" x14ac:dyDescent="0.25">
      <c r="A171" s="258" t="s">
        <v>257</v>
      </c>
      <c r="C171" s="385">
        <v>2539</v>
      </c>
      <c r="E171" s="435">
        <f>'Estimating Schedule - GF'!I173</f>
        <v>4180</v>
      </c>
      <c r="G171" s="289">
        <v>3500</v>
      </c>
      <c r="I171" s="466">
        <f t="shared" si="6"/>
        <v>-0.16267942583732053</v>
      </c>
      <c r="J171" s="92">
        <f>+C171+C169</f>
        <v>6048</v>
      </c>
      <c r="K171" s="484"/>
    </row>
    <row r="172" spans="1:14" ht="15" customHeight="1" x14ac:dyDescent="0.25">
      <c r="A172" s="258" t="s">
        <v>244</v>
      </c>
      <c r="C172" s="385">
        <f>425+744</f>
        <v>1169</v>
      </c>
      <c r="E172" s="435">
        <f>'Estimating Schedule - GF'!I174</f>
        <v>1307</v>
      </c>
      <c r="G172" s="289">
        <v>1300</v>
      </c>
      <c r="I172" s="466">
        <f t="shared" si="6"/>
        <v>-5.355776587605221E-3</v>
      </c>
      <c r="K172" s="385"/>
    </row>
    <row r="173" spans="1:14" ht="15" customHeight="1" x14ac:dyDescent="0.25">
      <c r="A173" s="122" t="s">
        <v>353</v>
      </c>
      <c r="C173" s="387"/>
      <c r="E173" s="447"/>
      <c r="G173" s="488"/>
      <c r="I173" s="466"/>
      <c r="J173" s="92"/>
      <c r="K173" s="387"/>
    </row>
    <row r="174" spans="1:14" ht="15" customHeight="1" x14ac:dyDescent="0.25">
      <c r="A174" s="258" t="s">
        <v>257</v>
      </c>
      <c r="C174" s="385">
        <f>1099+9048</f>
        <v>10147</v>
      </c>
      <c r="E174" s="435">
        <f>'Estimating Schedule - GF'!I176</f>
        <v>1278</v>
      </c>
      <c r="G174" s="488">
        <v>1300</v>
      </c>
      <c r="I174" s="466">
        <f t="shared" si="6"/>
        <v>1.7214397496087663E-2</v>
      </c>
      <c r="K174" s="484"/>
    </row>
    <row r="175" spans="1:14" ht="15" customHeight="1" x14ac:dyDescent="0.25">
      <c r="A175" s="258" t="s">
        <v>354</v>
      </c>
      <c r="C175" s="385">
        <v>1217</v>
      </c>
      <c r="E175" s="435">
        <f>'Estimating Schedule - GF'!I177</f>
        <v>2636</v>
      </c>
      <c r="G175" s="488">
        <v>1700</v>
      </c>
      <c r="I175" s="466">
        <f t="shared" si="6"/>
        <v>-0.35508345978755695</v>
      </c>
      <c r="K175" s="385"/>
    </row>
    <row r="176" spans="1:14" ht="15" customHeight="1" x14ac:dyDescent="0.25">
      <c r="A176" s="122" t="s">
        <v>355</v>
      </c>
      <c r="C176" s="385"/>
      <c r="E176" s="435"/>
      <c r="G176" s="489"/>
      <c r="I176" s="466"/>
      <c r="K176" s="385"/>
    </row>
    <row r="177" spans="1:13" ht="15" customHeight="1" x14ac:dyDescent="0.25">
      <c r="A177" s="258" t="s">
        <v>356</v>
      </c>
      <c r="C177" s="385">
        <v>10064</v>
      </c>
      <c r="D177" s="87"/>
      <c r="E177" s="435">
        <f>'Estimating Schedule - GF'!I179</f>
        <v>1835</v>
      </c>
      <c r="F177" s="87"/>
      <c r="G177" s="289">
        <v>8000</v>
      </c>
      <c r="I177" s="466">
        <f t="shared" si="6"/>
        <v>3.3596730245231612</v>
      </c>
      <c r="K177" s="484"/>
      <c r="M177" s="92"/>
    </row>
    <row r="178" spans="1:13" ht="15" customHeight="1" x14ac:dyDescent="0.25">
      <c r="A178" s="258" t="s">
        <v>256</v>
      </c>
      <c r="C178" s="385">
        <v>2203</v>
      </c>
      <c r="D178" s="87"/>
      <c r="E178" s="435">
        <f>'Estimating Schedule - GF'!I180</f>
        <v>2203</v>
      </c>
      <c r="F178" s="87"/>
      <c r="G178" s="289">
        <v>2203</v>
      </c>
      <c r="I178" s="466">
        <f t="shared" si="6"/>
        <v>0</v>
      </c>
      <c r="K178" s="484"/>
    </row>
    <row r="179" spans="1:13" ht="15" customHeight="1" x14ac:dyDescent="0.25">
      <c r="A179" s="258" t="s">
        <v>357</v>
      </c>
      <c r="C179" s="361">
        <v>0</v>
      </c>
      <c r="D179" s="87"/>
      <c r="E179" s="435">
        <f>'Estimating Schedule - GF'!I181</f>
        <v>800</v>
      </c>
      <c r="F179" s="87"/>
      <c r="G179" s="289">
        <v>800</v>
      </c>
      <c r="I179" s="466">
        <f t="shared" si="6"/>
        <v>0</v>
      </c>
      <c r="K179" s="387"/>
      <c r="L179" s="387"/>
    </row>
    <row r="180" spans="1:13" ht="17.25" customHeight="1" x14ac:dyDescent="0.4">
      <c r="A180" s="258" t="s">
        <v>523</v>
      </c>
      <c r="C180" s="490">
        <f>3155+5159+2708+3823+1615+1</f>
        <v>16461</v>
      </c>
      <c r="D180" s="87"/>
      <c r="E180" s="434">
        <f>'Estimating Schedule - GF'!I182</f>
        <v>8259</v>
      </c>
      <c r="F180" s="87"/>
      <c r="G180" s="461">
        <v>11500</v>
      </c>
      <c r="I180" s="467">
        <f t="shared" si="6"/>
        <v>0.39242038987770922</v>
      </c>
      <c r="K180" s="365" t="e">
        <f>C180-#REF!</f>
        <v>#REF!</v>
      </c>
    </row>
    <row r="181" spans="1:13" ht="17.25" customHeight="1" x14ac:dyDescent="0.4">
      <c r="A181" s="388" t="s">
        <v>262</v>
      </c>
      <c r="C181" s="432">
        <f>SUM(C155:C180)</f>
        <v>146842</v>
      </c>
      <c r="D181" s="468"/>
      <c r="E181" s="432">
        <f>SUM(E155:E180)</f>
        <v>132215</v>
      </c>
      <c r="F181" s="468"/>
      <c r="G181" s="462">
        <f>SUM(G155:G180)</f>
        <v>139397</v>
      </c>
      <c r="H181" s="465"/>
      <c r="I181" s="467">
        <f t="shared" si="6"/>
        <v>5.4320614151193158E-2</v>
      </c>
      <c r="J181" s="92"/>
    </row>
    <row r="182" spans="1:13" ht="9.9499999999999993" customHeight="1" x14ac:dyDescent="0.4">
      <c r="C182" s="386"/>
      <c r="D182" s="87"/>
      <c r="E182" s="386"/>
      <c r="F182" s="87"/>
      <c r="G182" s="461"/>
    </row>
    <row r="183" spans="1:13" ht="15" customHeight="1" x14ac:dyDescent="0.25">
      <c r="A183" s="117" t="s">
        <v>140</v>
      </c>
      <c r="C183" s="385"/>
      <c r="E183" s="385"/>
      <c r="G183" s="289"/>
    </row>
    <row r="184" spans="1:13" ht="15" customHeight="1" x14ac:dyDescent="0.25">
      <c r="A184" s="75" t="s">
        <v>123</v>
      </c>
      <c r="C184" s="385"/>
      <c r="E184" s="387"/>
      <c r="F184" s="387"/>
      <c r="G184" s="289"/>
    </row>
    <row r="185" spans="1:13" ht="15" customHeight="1" x14ac:dyDescent="0.25">
      <c r="A185" s="258" t="s">
        <v>525</v>
      </c>
      <c r="C185" s="387">
        <v>0</v>
      </c>
      <c r="E185" s="435">
        <f>'Estimating Schedule - GF'!I187</f>
        <v>20511</v>
      </c>
      <c r="F185" s="387"/>
      <c r="G185" s="289">
        <v>0</v>
      </c>
      <c r="I185" s="466">
        <f t="shared" ref="I185" si="7">+G185/E185-1</f>
        <v>-1</v>
      </c>
    </row>
    <row r="186" spans="1:13" ht="15" customHeight="1" x14ac:dyDescent="0.25">
      <c r="A186" s="75" t="s">
        <v>141</v>
      </c>
      <c r="C186" s="361"/>
      <c r="E186" s="435"/>
      <c r="G186" s="289"/>
      <c r="I186" s="466"/>
    </row>
    <row r="187" spans="1:13" ht="15" customHeight="1" x14ac:dyDescent="0.25">
      <c r="A187" s="258" t="s">
        <v>455</v>
      </c>
      <c r="C187" s="361">
        <v>115500</v>
      </c>
      <c r="E187" s="289">
        <v>0</v>
      </c>
      <c r="G187" s="289">
        <v>0</v>
      </c>
      <c r="I187" s="466">
        <v>0</v>
      </c>
    </row>
    <row r="188" spans="1:13" ht="15" customHeight="1" x14ac:dyDescent="0.25">
      <c r="A188" s="258" t="s">
        <v>527</v>
      </c>
      <c r="C188" s="361">
        <v>0</v>
      </c>
      <c r="E188" s="289">
        <f>'Estimating Schedule - GF'!I190</f>
        <v>6890</v>
      </c>
      <c r="G188" s="289">
        <v>0</v>
      </c>
      <c r="I188" s="466">
        <f t="shared" ref="I188" si="8">+G188/E188-1</f>
        <v>-1</v>
      </c>
    </row>
    <row r="189" spans="1:13" s="492" customFormat="1" ht="15" customHeight="1" x14ac:dyDescent="0.25">
      <c r="A189" s="491" t="s">
        <v>454</v>
      </c>
      <c r="C189" s="283"/>
      <c r="D189" s="493"/>
      <c r="E189" s="456"/>
      <c r="F189" s="493"/>
      <c r="G189" s="460"/>
      <c r="I189" s="494"/>
    </row>
    <row r="190" spans="1:13" ht="15" customHeight="1" x14ac:dyDescent="0.25">
      <c r="A190" s="495" t="s">
        <v>500</v>
      </c>
      <c r="C190" s="283">
        <v>16239</v>
      </c>
      <c r="D190" s="493"/>
      <c r="E190" s="457">
        <v>0</v>
      </c>
      <c r="F190" s="493"/>
      <c r="G190" s="584">
        <v>0</v>
      </c>
      <c r="H190" s="493"/>
      <c r="I190" s="585">
        <v>0</v>
      </c>
      <c r="J190" s="92"/>
    </row>
    <row r="191" spans="1:13" ht="17.25" customHeight="1" x14ac:dyDescent="0.4">
      <c r="A191" s="388" t="s">
        <v>263</v>
      </c>
      <c r="C191" s="432">
        <f>SUM(C185:C190)</f>
        <v>131739</v>
      </c>
      <c r="D191" s="468"/>
      <c r="E191" s="432">
        <f>SUM(E185:E190)</f>
        <v>27401</v>
      </c>
      <c r="F191" s="432"/>
      <c r="G191" s="462">
        <f>SUM(G185:G190)</f>
        <v>0</v>
      </c>
      <c r="H191" s="465"/>
      <c r="I191" s="467">
        <f>+G191/E191-1</f>
        <v>-1</v>
      </c>
      <c r="J191" s="92"/>
    </row>
    <row r="192" spans="1:13" ht="9.9499999999999993" customHeight="1" x14ac:dyDescent="0.4">
      <c r="C192" s="386"/>
      <c r="D192" s="87"/>
      <c r="E192" s="432"/>
      <c r="F192" s="87"/>
      <c r="G192" s="461"/>
    </row>
    <row r="193" spans="1:10" ht="15" customHeight="1" x14ac:dyDescent="0.4">
      <c r="A193" s="117" t="s">
        <v>237</v>
      </c>
      <c r="C193" s="386"/>
      <c r="D193" s="87"/>
      <c r="E193" s="432"/>
      <c r="F193" s="87"/>
      <c r="G193" s="461"/>
    </row>
    <row r="194" spans="1:10" ht="15" customHeight="1" x14ac:dyDescent="0.25">
      <c r="A194" s="122" t="s">
        <v>238</v>
      </c>
      <c r="C194" s="361">
        <v>14393</v>
      </c>
      <c r="D194" s="87"/>
      <c r="E194" s="435">
        <f>'Estimating Schedule - GF'!I196</f>
        <v>49228</v>
      </c>
      <c r="F194" s="87"/>
      <c r="G194" s="289">
        <v>26879</v>
      </c>
      <c r="I194" s="466">
        <f t="shared" ref="I194:I196" si="9">+G194/E194-1</f>
        <v>-0.45398959941496708</v>
      </c>
      <c r="J194" s="487">
        <f>SUM(C194:G194)</f>
        <v>90500</v>
      </c>
    </row>
    <row r="195" spans="1:10" ht="17.25" customHeight="1" x14ac:dyDescent="0.4">
      <c r="A195" s="122" t="s">
        <v>239</v>
      </c>
      <c r="C195" s="376">
        <v>5394</v>
      </c>
      <c r="D195" s="87"/>
      <c r="E195" s="434">
        <f>'Estimating Schedule - GF'!I197</f>
        <v>2664</v>
      </c>
      <c r="F195" s="87"/>
      <c r="G195" s="496">
        <v>1387</v>
      </c>
      <c r="I195" s="467">
        <f t="shared" si="9"/>
        <v>-0.47935435435435436</v>
      </c>
    </row>
    <row r="196" spans="1:10" ht="17.25" customHeight="1" x14ac:dyDescent="0.4">
      <c r="A196" s="388" t="s">
        <v>240</v>
      </c>
      <c r="C196" s="376">
        <f>SUM(C194:C195)</f>
        <v>19787</v>
      </c>
      <c r="D196" s="386">
        <f>SUM(D194:D195)</f>
        <v>0</v>
      </c>
      <c r="E196" s="432">
        <f>SUM(E194:E195)</f>
        <v>51892</v>
      </c>
      <c r="F196" s="386">
        <f>SUM(F194:F195)</f>
        <v>0</v>
      </c>
      <c r="G196" s="461">
        <f>SUM(G194:G195)</f>
        <v>28266</v>
      </c>
      <c r="I196" s="467">
        <f t="shared" si="9"/>
        <v>-0.45529175980883374</v>
      </c>
    </row>
    <row r="197" spans="1:10" ht="17.25" customHeight="1" x14ac:dyDescent="0.4">
      <c r="A197" s="388" t="s">
        <v>264</v>
      </c>
      <c r="C197" s="444">
        <f>C116+C144+C181+C191+C196</f>
        <v>1427197</v>
      </c>
      <c r="D197" s="478"/>
      <c r="E197" s="444">
        <f>E116+E144+E181+E191+E196</f>
        <v>1273924</v>
      </c>
      <c r="F197" s="478"/>
      <c r="G197" s="463">
        <f>G116+G144+G181+G191+G196</f>
        <v>1192383</v>
      </c>
      <c r="H197" s="497"/>
      <c r="I197" s="467">
        <f>+G197/E197-1</f>
        <v>-6.4007743005077278E-2</v>
      </c>
      <c r="J197" s="475"/>
    </row>
    <row r="198" spans="1:10" x14ac:dyDescent="0.25">
      <c r="C198" s="385"/>
      <c r="E198" s="435"/>
      <c r="G198" s="385"/>
      <c r="I198" s="465"/>
    </row>
    <row r="199" spans="1:10" x14ac:dyDescent="0.25">
      <c r="C199" s="385"/>
      <c r="E199" s="435">
        <f>E197-'Estimating Schedule - GF'!I200</f>
        <v>0</v>
      </c>
      <c r="F199" s="465"/>
      <c r="G199" s="435"/>
      <c r="H199" s="465"/>
      <c r="I199" s="465"/>
    </row>
    <row r="200" spans="1:10" x14ac:dyDescent="0.25">
      <c r="E200" s="443"/>
      <c r="F200" s="465"/>
      <c r="G200" s="443"/>
      <c r="H200" s="465"/>
      <c r="I200" s="465"/>
    </row>
  </sheetData>
  <mergeCells count="19">
    <mergeCell ref="A146:I146"/>
    <mergeCell ref="A147:I147"/>
    <mergeCell ref="A148:I148"/>
    <mergeCell ref="A149:I149"/>
    <mergeCell ref="C151:G151"/>
    <mergeCell ref="A2:I2"/>
    <mergeCell ref="A3:I3"/>
    <mergeCell ref="A4:I4"/>
    <mergeCell ref="C6:G6"/>
    <mergeCell ref="C93:G93"/>
    <mergeCell ref="A88:I88"/>
    <mergeCell ref="A89:I89"/>
    <mergeCell ref="A90:I90"/>
    <mergeCell ref="A91:I91"/>
    <mergeCell ref="A41:I41"/>
    <mergeCell ref="A42:I42"/>
    <mergeCell ref="A43:I43"/>
    <mergeCell ref="A44:I44"/>
    <mergeCell ref="C47:G47"/>
  </mergeCells>
  <phoneticPr fontId="0" type="noConversion"/>
  <pageMargins left="1" right="0.5" top="0.5" bottom="0.25" header="0.25" footer="0"/>
  <pageSetup scale="90" orientation="portrait" r:id="rId1"/>
  <headerFooter alignWithMargins="0">
    <oddFooter>&amp;L&amp;"Times New Roman,Regular"&amp;9&amp;D &amp;C&amp;"Times New Roman,Regular"&amp;9&amp;Z&amp;F&amp;R&amp;"Times New Roman,Regular"&amp;9&amp;A</oddFooter>
  </headerFooter>
  <rowBreaks count="3" manualBreakCount="3">
    <brk id="39" max="8" man="1"/>
    <brk id="86" max="8" man="1"/>
    <brk id="144"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0"/>
  <dimension ref="A1:Z65"/>
  <sheetViews>
    <sheetView view="pageBreakPreview" topLeftCell="A10" zoomScaleNormal="100" zoomScaleSheetLayoutView="100" workbookViewId="0">
      <selection activeCell="D18" sqref="D18"/>
    </sheetView>
  </sheetViews>
  <sheetFormatPr defaultColWidth="9.77734375" defaultRowHeight="15.75" x14ac:dyDescent="0.25"/>
  <cols>
    <col min="1" max="1" width="27.109375" style="75" customWidth="1"/>
    <col min="2" max="2" width="11" style="319" customWidth="1"/>
    <col min="3" max="3" width="0.33203125" style="319" customWidth="1"/>
    <col min="4" max="4" width="9.21875" style="319" bestFit="1" customWidth="1"/>
    <col min="5" max="5" width="0.5546875" style="319" customWidth="1"/>
    <col min="6" max="6" width="8.88671875" style="319" customWidth="1"/>
    <col min="7" max="7" width="0.44140625" style="319" customWidth="1"/>
    <col min="8" max="8" width="9.109375" style="319" customWidth="1"/>
    <col min="9" max="9" width="0.33203125" style="319" customWidth="1"/>
    <col min="10" max="10" width="10.21875" style="319" bestFit="1" customWidth="1"/>
    <col min="11" max="11" width="0.44140625" style="319" customWidth="1"/>
    <col min="12" max="12" width="9.88671875" style="319" bestFit="1" customWidth="1"/>
    <col min="13" max="13" width="0.44140625" style="319" customWidth="1"/>
    <col min="14" max="14" width="9" style="319" bestFit="1" customWidth="1"/>
    <col min="15" max="15" width="0.77734375" style="319" customWidth="1"/>
    <col min="16" max="16" width="9.21875" style="319" bestFit="1" customWidth="1"/>
    <col min="17" max="17" width="0.5546875" style="319" customWidth="1"/>
    <col min="18" max="18" width="10.6640625" style="319" customWidth="1"/>
    <col min="19" max="19" width="0.5546875" style="319" customWidth="1"/>
    <col min="20" max="20" width="8.44140625" style="319" customWidth="1"/>
    <col min="21" max="22" width="11.5546875" style="319" bestFit="1" customWidth="1"/>
    <col min="23" max="26" width="9.77734375" style="319"/>
    <col min="27" max="16384" width="9.77734375" style="75"/>
  </cols>
  <sheetData>
    <row r="1" spans="1:23" x14ac:dyDescent="0.25">
      <c r="R1" s="111"/>
      <c r="T1" s="111" t="s">
        <v>231</v>
      </c>
    </row>
    <row r="2" spans="1:23" x14ac:dyDescent="0.25">
      <c r="A2" s="618" t="s">
        <v>45</v>
      </c>
      <c r="B2" s="618"/>
      <c r="C2" s="618"/>
      <c r="D2" s="618"/>
      <c r="E2" s="618"/>
      <c r="F2" s="618"/>
      <c r="G2" s="618"/>
      <c r="H2" s="618"/>
      <c r="I2" s="618"/>
      <c r="J2" s="618"/>
      <c r="K2" s="618"/>
      <c r="L2" s="618"/>
      <c r="M2" s="618"/>
      <c r="N2" s="618"/>
      <c r="O2" s="618"/>
      <c r="P2" s="618"/>
      <c r="Q2" s="618"/>
      <c r="R2" s="618"/>
    </row>
    <row r="3" spans="1:23" x14ac:dyDescent="0.25">
      <c r="A3" s="618" t="s">
        <v>220</v>
      </c>
      <c r="B3" s="618"/>
      <c r="C3" s="618"/>
      <c r="D3" s="618"/>
      <c r="E3" s="618"/>
      <c r="F3" s="618"/>
      <c r="G3" s="618"/>
      <c r="H3" s="618"/>
      <c r="I3" s="618"/>
      <c r="J3" s="618"/>
      <c r="K3" s="618"/>
      <c r="L3" s="618"/>
      <c r="M3" s="618"/>
      <c r="N3" s="618"/>
      <c r="O3" s="618"/>
      <c r="P3" s="618"/>
      <c r="Q3" s="618"/>
      <c r="R3" s="618"/>
    </row>
    <row r="4" spans="1:23" x14ac:dyDescent="0.25">
      <c r="A4" s="618" t="s">
        <v>142</v>
      </c>
      <c r="B4" s="618"/>
      <c r="C4" s="618"/>
      <c r="D4" s="618"/>
      <c r="E4" s="618"/>
      <c r="F4" s="618"/>
      <c r="G4" s="618"/>
      <c r="H4" s="618"/>
      <c r="I4" s="618"/>
      <c r="J4" s="618"/>
      <c r="K4" s="618"/>
      <c r="L4" s="618"/>
      <c r="M4" s="618"/>
      <c r="N4" s="618"/>
      <c r="O4" s="618"/>
      <c r="P4" s="618"/>
      <c r="Q4" s="618"/>
      <c r="R4" s="618"/>
    </row>
    <row r="5" spans="1:23" x14ac:dyDescent="0.25">
      <c r="A5" s="618" t="str">
        <f>'General Fund'!A4:F4</f>
        <v>Year Ending September 30, 2021</v>
      </c>
      <c r="B5" s="618"/>
      <c r="C5" s="618"/>
      <c r="D5" s="618"/>
      <c r="E5" s="618"/>
      <c r="F5" s="618"/>
      <c r="G5" s="618"/>
      <c r="H5" s="618"/>
      <c r="I5" s="618"/>
      <c r="J5" s="618"/>
      <c r="K5" s="618"/>
      <c r="L5" s="618"/>
      <c r="M5" s="618"/>
      <c r="N5" s="618"/>
      <c r="O5" s="618"/>
      <c r="P5" s="618"/>
      <c r="Q5" s="618"/>
      <c r="R5" s="618"/>
    </row>
    <row r="8" spans="1:23" x14ac:dyDescent="0.25">
      <c r="B8" s="112" t="s">
        <v>265</v>
      </c>
      <c r="C8" s="113"/>
      <c r="D8" s="112"/>
      <c r="E8" s="113"/>
      <c r="F8" s="112"/>
      <c r="H8" s="112" t="s">
        <v>266</v>
      </c>
      <c r="I8" s="113"/>
      <c r="J8" s="112"/>
      <c r="K8" s="113"/>
      <c r="L8" s="112"/>
      <c r="N8" s="112"/>
      <c r="O8" s="113"/>
      <c r="P8" s="407" t="s">
        <v>51</v>
      </c>
      <c r="Q8" s="113"/>
      <c r="R8" s="112"/>
    </row>
    <row r="9" spans="1:23" x14ac:dyDescent="0.25">
      <c r="A9" s="75" t="s">
        <v>143</v>
      </c>
      <c r="B9" s="115">
        <v>2019</v>
      </c>
      <c r="C9" s="116"/>
      <c r="D9" s="115">
        <f>B9+1</f>
        <v>2020</v>
      </c>
      <c r="E9" s="116"/>
      <c r="F9" s="115">
        <f>D9+1</f>
        <v>2021</v>
      </c>
      <c r="G9" s="116"/>
      <c r="H9" s="115">
        <f>B9</f>
        <v>2019</v>
      </c>
      <c r="I9" s="116"/>
      <c r="J9" s="115">
        <f>D9</f>
        <v>2020</v>
      </c>
      <c r="K9" s="116"/>
      <c r="L9" s="115">
        <f>F9</f>
        <v>2021</v>
      </c>
      <c r="M9" s="116"/>
      <c r="N9" s="115">
        <f>B9</f>
        <v>2019</v>
      </c>
      <c r="O9" s="116"/>
      <c r="P9" s="115">
        <f>D9</f>
        <v>2020</v>
      </c>
      <c r="Q9" s="116"/>
      <c r="R9" s="115">
        <f>F9</f>
        <v>2021</v>
      </c>
      <c r="U9" s="101"/>
      <c r="V9" s="101"/>
    </row>
    <row r="10" spans="1:23" x14ac:dyDescent="0.25">
      <c r="B10" s="407" t="s">
        <v>81</v>
      </c>
      <c r="D10" s="407" t="s">
        <v>82</v>
      </c>
      <c r="F10" s="407" t="s">
        <v>83</v>
      </c>
      <c r="H10" s="407" t="s">
        <v>81</v>
      </c>
      <c r="J10" s="407" t="s">
        <v>82</v>
      </c>
      <c r="L10" s="407" t="s">
        <v>83</v>
      </c>
      <c r="N10" s="407" t="s">
        <v>81</v>
      </c>
      <c r="P10" s="407" t="s">
        <v>82</v>
      </c>
      <c r="R10" s="407" t="s">
        <v>83</v>
      </c>
    </row>
    <row r="11" spans="1:23" x14ac:dyDescent="0.25">
      <c r="A11" s="117" t="s">
        <v>0</v>
      </c>
      <c r="B11" s="385"/>
      <c r="D11" s="385"/>
      <c r="F11" s="385"/>
      <c r="H11" s="385"/>
      <c r="J11" s="385"/>
      <c r="L11" s="385"/>
      <c r="N11" s="385"/>
      <c r="P11" s="385"/>
      <c r="R11" s="385"/>
      <c r="U11" s="101">
        <f>B12/N12</f>
        <v>0.4500970509521281</v>
      </c>
      <c r="V11" s="101">
        <f>H12/N12</f>
        <v>0.54990294904787196</v>
      </c>
    </row>
    <row r="12" spans="1:23" x14ac:dyDescent="0.25">
      <c r="A12" s="75" t="s">
        <v>144</v>
      </c>
      <c r="B12" s="382">
        <v>297511</v>
      </c>
      <c r="C12" s="385"/>
      <c r="D12" s="437">
        <f>'Estimating Schedule - SRF'!G11</f>
        <v>346369</v>
      </c>
      <c r="E12" s="385"/>
      <c r="F12" s="289">
        <v>320500</v>
      </c>
      <c r="G12" s="385"/>
      <c r="H12" s="382">
        <v>363482</v>
      </c>
      <c r="I12" s="385"/>
      <c r="J12" s="437">
        <f>'Estimating Schedule - SRF'!M11</f>
        <v>415718</v>
      </c>
      <c r="K12" s="385"/>
      <c r="L12" s="289">
        <v>384500</v>
      </c>
      <c r="N12" s="437">
        <f>H12+B12</f>
        <v>660993</v>
      </c>
      <c r="O12" s="385"/>
      <c r="P12" s="437">
        <f>J12+D12</f>
        <v>762087</v>
      </c>
      <c r="Q12" s="385"/>
      <c r="R12" s="382">
        <f>L12+F12</f>
        <v>705000</v>
      </c>
      <c r="T12" s="466">
        <f>+R12/P12-1</f>
        <v>-7.4908770258513835E-2</v>
      </c>
      <c r="U12" s="101">
        <f>D12/P12</f>
        <v>0.45450060163734585</v>
      </c>
      <c r="V12" s="101">
        <f>F12/R12</f>
        <v>0.45460992907801417</v>
      </c>
      <c r="W12" s="101"/>
    </row>
    <row r="13" spans="1:23" ht="18" x14ac:dyDescent="0.4">
      <c r="A13" s="75" t="s">
        <v>279</v>
      </c>
      <c r="B13" s="376">
        <v>0</v>
      </c>
      <c r="D13" s="470">
        <f>'Estimating Schedule - SRF'!G12</f>
        <v>42</v>
      </c>
      <c r="E13" s="384"/>
      <c r="F13" s="461">
        <v>40</v>
      </c>
      <c r="G13" s="385"/>
      <c r="H13" s="386">
        <v>25</v>
      </c>
      <c r="I13" s="385"/>
      <c r="J13" s="432">
        <f>'Estimating Schedule - SRF'!M12</f>
        <v>20</v>
      </c>
      <c r="K13" s="381"/>
      <c r="L13" s="496">
        <v>20</v>
      </c>
      <c r="N13" s="432">
        <f>H13+B13</f>
        <v>25</v>
      </c>
      <c r="O13" s="385"/>
      <c r="P13" s="432">
        <f>J13+D13</f>
        <v>62</v>
      </c>
      <c r="Q13" s="381"/>
      <c r="R13" s="386">
        <f>L13+F13</f>
        <v>60</v>
      </c>
      <c r="T13" s="467">
        <f>+R13/P13-1</f>
        <v>-3.2258064516129004E-2</v>
      </c>
      <c r="U13" s="101">
        <f>F12/R12</f>
        <v>0.45460992907801417</v>
      </c>
      <c r="V13" s="101">
        <f>L12/R12</f>
        <v>0.54539007092198577</v>
      </c>
    </row>
    <row r="14" spans="1:23" ht="18" x14ac:dyDescent="0.4">
      <c r="A14" s="75" t="s">
        <v>97</v>
      </c>
      <c r="B14" s="432">
        <f>SUM(B12:B13)</f>
        <v>297511</v>
      </c>
      <c r="C14" s="435"/>
      <c r="D14" s="432">
        <f>SUM(D12:D13)</f>
        <v>346411</v>
      </c>
      <c r="E14" s="435"/>
      <c r="F14" s="462">
        <f>SUM(F12:F13)</f>
        <v>320540</v>
      </c>
      <c r="G14" s="435"/>
      <c r="H14" s="432">
        <f>SUM(H12:H13)</f>
        <v>363507</v>
      </c>
      <c r="I14" s="435"/>
      <c r="J14" s="432">
        <f>SUM(J12:J13)</f>
        <v>415738</v>
      </c>
      <c r="K14" s="435"/>
      <c r="L14" s="462">
        <f>SUM(L12:L13)</f>
        <v>384520</v>
      </c>
      <c r="M14" s="443"/>
      <c r="N14" s="432">
        <f>SUM(N12:N13)</f>
        <v>661018</v>
      </c>
      <c r="O14" s="435"/>
      <c r="P14" s="432">
        <f>SUM(P12:P13)</f>
        <v>762149</v>
      </c>
      <c r="Q14" s="435"/>
      <c r="R14" s="432">
        <f>SUM(R12:R13)</f>
        <v>705060</v>
      </c>
      <c r="S14" s="443"/>
      <c r="T14" s="467">
        <f>+R14/P14-1</f>
        <v>-7.4905300669554142E-2</v>
      </c>
    </row>
    <row r="15" spans="1:23" ht="7.5" customHeight="1" x14ac:dyDescent="0.25">
      <c r="D15" s="443"/>
      <c r="F15" s="486"/>
      <c r="J15" s="443"/>
      <c r="L15" s="486"/>
      <c r="N15" s="443"/>
      <c r="P15" s="443"/>
    </row>
    <row r="16" spans="1:23" x14ac:dyDescent="0.25">
      <c r="A16" s="117" t="s">
        <v>7</v>
      </c>
      <c r="B16" s="385"/>
      <c r="C16" s="385"/>
      <c r="D16" s="435"/>
      <c r="E16" s="385"/>
      <c r="F16" s="289"/>
      <c r="G16" s="385"/>
      <c r="H16" s="385"/>
      <c r="I16" s="385"/>
      <c r="J16" s="435"/>
      <c r="K16" s="385"/>
      <c r="L16" s="289"/>
      <c r="N16" s="435"/>
      <c r="O16" s="385"/>
      <c r="P16" s="435"/>
      <c r="Q16" s="385"/>
      <c r="R16" s="385"/>
    </row>
    <row r="17" spans="1:23" x14ac:dyDescent="0.25">
      <c r="A17" s="75" t="s">
        <v>123</v>
      </c>
      <c r="B17" s="385"/>
      <c r="D17" s="435"/>
      <c r="F17" s="289" t="s">
        <v>19</v>
      </c>
      <c r="H17" s="385"/>
      <c r="J17" s="435" t="s">
        <v>19</v>
      </c>
      <c r="L17" s="289" t="s">
        <v>19</v>
      </c>
      <c r="N17" s="435"/>
      <c r="P17" s="435"/>
      <c r="R17" s="385"/>
    </row>
    <row r="18" spans="1:23" x14ac:dyDescent="0.25">
      <c r="A18" s="75" t="s">
        <v>128</v>
      </c>
      <c r="B18" s="385">
        <v>11905</v>
      </c>
      <c r="D18" s="435">
        <f>'Estimating Schedule - SRF'!G17</f>
        <v>14390</v>
      </c>
      <c r="F18" s="289">
        <v>14400</v>
      </c>
      <c r="G18" s="385"/>
      <c r="H18" s="385">
        <v>11903</v>
      </c>
      <c r="J18" s="435">
        <f>'Estimating Schedule - SRF'!M17</f>
        <v>14390</v>
      </c>
      <c r="L18" s="289">
        <v>14400</v>
      </c>
      <c r="N18" s="435">
        <f>H18+B18</f>
        <v>23808</v>
      </c>
      <c r="P18" s="435">
        <f>J18+D18</f>
        <v>28780</v>
      </c>
      <c r="R18" s="385">
        <f>F18+L18</f>
        <v>28800</v>
      </c>
      <c r="T18" s="466">
        <f>+R18/P18-1</f>
        <v>6.9492703266149647E-4</v>
      </c>
      <c r="U18" s="101"/>
      <c r="V18" s="101"/>
      <c r="W18" s="101"/>
    </row>
    <row r="19" spans="1:23" ht="18" x14ac:dyDescent="0.4">
      <c r="A19" s="75" t="s">
        <v>145</v>
      </c>
      <c r="B19" s="386">
        <v>2771</v>
      </c>
      <c r="D19" s="432">
        <f>'Estimating Schedule - SRF'!G18</f>
        <v>3305</v>
      </c>
      <c r="F19" s="461">
        <v>3270</v>
      </c>
      <c r="H19" s="386">
        <v>3244</v>
      </c>
      <c r="J19" s="434">
        <f>'Estimating Schedule - SRF'!M18</f>
        <v>3969</v>
      </c>
      <c r="K19" s="384"/>
      <c r="L19" s="461">
        <v>3930</v>
      </c>
      <c r="N19" s="432">
        <f>H19+B19</f>
        <v>6015</v>
      </c>
      <c r="P19" s="432">
        <f>J19+D19</f>
        <v>7274</v>
      </c>
      <c r="R19" s="386">
        <f>L19+F19</f>
        <v>7200</v>
      </c>
      <c r="T19" s="467">
        <f>+R19/P19-1</f>
        <v>-1.0173219686554824E-2</v>
      </c>
      <c r="U19" s="101"/>
      <c r="V19" s="101"/>
      <c r="W19" s="101"/>
    </row>
    <row r="20" spans="1:23" ht="18" x14ac:dyDescent="0.4">
      <c r="A20" s="75" t="s">
        <v>134</v>
      </c>
      <c r="B20" s="432">
        <f>SUM(B18:B19)</f>
        <v>14676</v>
      </c>
      <c r="C20" s="443"/>
      <c r="D20" s="432">
        <f>SUM(D18:D19)</f>
        <v>17695</v>
      </c>
      <c r="E20" s="443"/>
      <c r="F20" s="462">
        <f>SUM(F18:F19)</f>
        <v>17670</v>
      </c>
      <c r="G20" s="435"/>
      <c r="H20" s="432">
        <f>SUM(H18:H19)</f>
        <v>15147</v>
      </c>
      <c r="I20" s="443"/>
      <c r="J20" s="432">
        <f>SUM(J18:J19)</f>
        <v>18359</v>
      </c>
      <c r="K20" s="443"/>
      <c r="L20" s="462">
        <f>SUM(L18:L19)</f>
        <v>18330</v>
      </c>
      <c r="M20" s="443"/>
      <c r="N20" s="432">
        <f>SUM(N18:N19)</f>
        <v>29823</v>
      </c>
      <c r="O20" s="443"/>
      <c r="P20" s="432">
        <f>SUM(P18:P19)</f>
        <v>36054</v>
      </c>
      <c r="Q20" s="443"/>
      <c r="R20" s="432">
        <f>SUM(R18:R19)</f>
        <v>36000</v>
      </c>
      <c r="S20" s="443"/>
      <c r="T20" s="467">
        <f>+R20/P20-1</f>
        <v>-1.4977533699450651E-3</v>
      </c>
      <c r="U20" s="101"/>
      <c r="V20" s="101"/>
      <c r="W20" s="402"/>
    </row>
    <row r="21" spans="1:23" ht="7.5" customHeight="1" x14ac:dyDescent="0.25">
      <c r="B21" s="385"/>
      <c r="D21" s="435"/>
      <c r="F21" s="289"/>
      <c r="H21" s="385"/>
      <c r="J21" s="435"/>
      <c r="L21" s="289"/>
      <c r="N21" s="435"/>
      <c r="P21" s="435"/>
      <c r="R21" s="385"/>
      <c r="U21" s="101"/>
      <c r="V21" s="101"/>
    </row>
    <row r="22" spans="1:23" x14ac:dyDescent="0.25">
      <c r="A22" s="122" t="s">
        <v>472</v>
      </c>
      <c r="B22" s="385"/>
      <c r="D22" s="435"/>
      <c r="F22" s="289"/>
      <c r="H22" s="385"/>
      <c r="J22" s="435"/>
      <c r="L22" s="289"/>
      <c r="N22" s="435"/>
      <c r="P22" s="435"/>
      <c r="R22" s="385"/>
      <c r="U22" s="101"/>
      <c r="V22" s="101"/>
    </row>
    <row r="23" spans="1:23" x14ac:dyDescent="0.25">
      <c r="A23" s="258" t="s">
        <v>247</v>
      </c>
      <c r="B23" s="385">
        <v>172937</v>
      </c>
      <c r="D23" s="435">
        <f>'Estimating Schedule - SRF'!G22</f>
        <v>133049</v>
      </c>
      <c r="F23" s="289">
        <v>170500</v>
      </c>
      <c r="G23" s="385"/>
      <c r="H23" s="361">
        <v>0</v>
      </c>
      <c r="I23" s="387"/>
      <c r="J23" s="447">
        <f>'Estimating Schedule - SRF'!M22</f>
        <v>0</v>
      </c>
      <c r="K23" s="387"/>
      <c r="L23" s="289">
        <v>0</v>
      </c>
      <c r="N23" s="435">
        <f t="shared" ref="N23:N30" si="0">H23+B23</f>
        <v>172937</v>
      </c>
      <c r="P23" s="435">
        <f>J23+D23</f>
        <v>133049</v>
      </c>
      <c r="R23" s="385">
        <f>L23+F23</f>
        <v>170500</v>
      </c>
      <c r="T23" s="466">
        <f t="shared" ref="T23:T31" si="1">+R23/P23-1</f>
        <v>0.2814827619899436</v>
      </c>
      <c r="V23" s="137"/>
    </row>
    <row r="24" spans="1:23" x14ac:dyDescent="0.25">
      <c r="A24" s="258" t="s">
        <v>248</v>
      </c>
      <c r="B24" s="385">
        <v>13392</v>
      </c>
      <c r="D24" s="435">
        <f>'Estimating Schedule - SRF'!G23</f>
        <v>9594</v>
      </c>
      <c r="F24" s="289">
        <v>12500</v>
      </c>
      <c r="H24" s="361">
        <v>0</v>
      </c>
      <c r="I24" s="387"/>
      <c r="J24" s="447">
        <f>'Estimating Schedule - SRF'!M23</f>
        <v>0</v>
      </c>
      <c r="K24" s="387"/>
      <c r="L24" s="289">
        <v>0</v>
      </c>
      <c r="N24" s="435">
        <f t="shared" si="0"/>
        <v>13392</v>
      </c>
      <c r="P24" s="435">
        <f t="shared" ref="P24:R30" si="2">J24+D24</f>
        <v>9594</v>
      </c>
      <c r="R24" s="385">
        <f t="shared" si="2"/>
        <v>12500</v>
      </c>
      <c r="T24" s="466">
        <f t="shared" si="1"/>
        <v>0.30289764436105893</v>
      </c>
    </row>
    <row r="25" spans="1:23" x14ac:dyDescent="0.25">
      <c r="A25" s="258" t="s">
        <v>249</v>
      </c>
      <c r="B25" s="385">
        <v>37230</v>
      </c>
      <c r="D25" s="435">
        <f>'Estimating Schedule - SRF'!G24</f>
        <v>35924</v>
      </c>
      <c r="F25" s="289">
        <v>38500</v>
      </c>
      <c r="H25" s="361">
        <v>0</v>
      </c>
      <c r="I25" s="387"/>
      <c r="J25" s="447">
        <f>'Estimating Schedule - SRF'!M24</f>
        <v>0</v>
      </c>
      <c r="K25" s="387"/>
      <c r="L25" s="289">
        <v>0</v>
      </c>
      <c r="N25" s="435">
        <f t="shared" si="0"/>
        <v>37230</v>
      </c>
      <c r="P25" s="435">
        <f t="shared" si="2"/>
        <v>35924</v>
      </c>
      <c r="R25" s="385">
        <f t="shared" si="2"/>
        <v>38500</v>
      </c>
      <c r="T25" s="466">
        <f t="shared" si="1"/>
        <v>7.1706936866718696E-2</v>
      </c>
      <c r="V25" s="101"/>
    </row>
    <row r="26" spans="1:23" x14ac:dyDescent="0.25">
      <c r="A26" s="257" t="s">
        <v>473</v>
      </c>
      <c r="B26" s="385">
        <v>9643</v>
      </c>
      <c r="D26" s="435">
        <f>'Estimating Schedule - SRF'!G25</f>
        <v>15849</v>
      </c>
      <c r="F26" s="289">
        <v>15900</v>
      </c>
      <c r="H26" s="361">
        <v>0</v>
      </c>
      <c r="I26" s="387"/>
      <c r="J26" s="447">
        <f>'Estimating Schedule - SRF'!M25</f>
        <v>0</v>
      </c>
      <c r="K26" s="387"/>
      <c r="L26" s="289">
        <v>0</v>
      </c>
      <c r="N26" s="435">
        <f t="shared" si="0"/>
        <v>9643</v>
      </c>
      <c r="P26" s="435">
        <f t="shared" si="2"/>
        <v>15849</v>
      </c>
      <c r="R26" s="385">
        <f t="shared" si="2"/>
        <v>15900</v>
      </c>
      <c r="T26" s="466">
        <f t="shared" si="1"/>
        <v>3.2178686352450914E-3</v>
      </c>
    </row>
    <row r="27" spans="1:23" x14ac:dyDescent="0.25">
      <c r="A27" s="257" t="s">
        <v>474</v>
      </c>
      <c r="B27" s="385">
        <v>11413</v>
      </c>
      <c r="D27" s="435">
        <f>'Estimating Schedule - SRF'!G26</f>
        <v>20729</v>
      </c>
      <c r="F27" s="289">
        <v>30000</v>
      </c>
      <c r="H27" s="361">
        <v>0</v>
      </c>
      <c r="I27" s="387"/>
      <c r="J27" s="447">
        <f>'Estimating Schedule - SRF'!M26</f>
        <v>0</v>
      </c>
      <c r="K27" s="387"/>
      <c r="L27" s="289">
        <v>0</v>
      </c>
      <c r="N27" s="435">
        <f t="shared" si="0"/>
        <v>11413</v>
      </c>
      <c r="P27" s="435">
        <f t="shared" si="2"/>
        <v>20729</v>
      </c>
      <c r="R27" s="385">
        <f t="shared" si="2"/>
        <v>30000</v>
      </c>
      <c r="T27" s="466">
        <f t="shared" si="1"/>
        <v>0.44724781706787597</v>
      </c>
    </row>
    <row r="28" spans="1:23" x14ac:dyDescent="0.25">
      <c r="A28" s="257" t="s">
        <v>475</v>
      </c>
      <c r="B28" s="385">
        <f>6276+285</f>
        <v>6561</v>
      </c>
      <c r="D28" s="435">
        <f>'Estimating Schedule - SRF'!G27</f>
        <v>20092</v>
      </c>
      <c r="F28" s="289">
        <v>20000</v>
      </c>
      <c r="H28" s="361">
        <v>0</v>
      </c>
      <c r="I28" s="387"/>
      <c r="J28" s="447">
        <f>'Estimating Schedule - SRF'!M27</f>
        <v>0</v>
      </c>
      <c r="K28" s="387"/>
      <c r="L28" s="289">
        <v>0</v>
      </c>
      <c r="N28" s="435">
        <f t="shared" si="0"/>
        <v>6561</v>
      </c>
      <c r="P28" s="435">
        <f t="shared" si="2"/>
        <v>20092</v>
      </c>
      <c r="R28" s="385">
        <f t="shared" si="2"/>
        <v>20000</v>
      </c>
      <c r="T28" s="466">
        <f t="shared" si="1"/>
        <v>-4.5789368903046412E-3</v>
      </c>
    </row>
    <row r="29" spans="1:23" x14ac:dyDescent="0.25">
      <c r="A29" s="258" t="s">
        <v>258</v>
      </c>
      <c r="B29" s="385">
        <f>13472+1</f>
        <v>13473</v>
      </c>
      <c r="D29" s="435">
        <f>'Estimating Schedule - SRF'!G28</f>
        <v>10368</v>
      </c>
      <c r="F29" s="289">
        <v>11500</v>
      </c>
      <c r="H29" s="361">
        <v>0</v>
      </c>
      <c r="I29" s="387"/>
      <c r="J29" s="447">
        <f>'Estimating Schedule - SRF'!M28</f>
        <v>0</v>
      </c>
      <c r="K29" s="387"/>
      <c r="L29" s="289">
        <v>0</v>
      </c>
      <c r="N29" s="435">
        <f t="shared" si="0"/>
        <v>13473</v>
      </c>
      <c r="P29" s="435">
        <f t="shared" si="2"/>
        <v>10368</v>
      </c>
      <c r="R29" s="385">
        <f t="shared" si="2"/>
        <v>11500</v>
      </c>
      <c r="T29" s="466">
        <f t="shared" si="1"/>
        <v>0.10918209876543217</v>
      </c>
    </row>
    <row r="30" spans="1:23" ht="18" x14ac:dyDescent="0.4">
      <c r="A30" s="258" t="s">
        <v>476</v>
      </c>
      <c r="B30" s="384">
        <v>0</v>
      </c>
      <c r="D30" s="498">
        <f>'Estimating Schedule - SRF'!G29</f>
        <v>0</v>
      </c>
      <c r="E30" s="384"/>
      <c r="F30" s="461">
        <v>0</v>
      </c>
      <c r="H30" s="386">
        <v>32776</v>
      </c>
      <c r="J30" s="432">
        <f>'Estimating Schedule - SRF'!M29</f>
        <v>35406</v>
      </c>
      <c r="L30" s="461">
        <v>35500</v>
      </c>
      <c r="N30" s="432">
        <f t="shared" si="0"/>
        <v>32776</v>
      </c>
      <c r="P30" s="432">
        <f t="shared" si="2"/>
        <v>35406</v>
      </c>
      <c r="R30" s="386">
        <f t="shared" si="2"/>
        <v>35500</v>
      </c>
      <c r="T30" s="467">
        <f t="shared" si="1"/>
        <v>2.6549172456644676E-3</v>
      </c>
    </row>
    <row r="31" spans="1:23" ht="18" x14ac:dyDescent="0.4">
      <c r="A31" s="388" t="s">
        <v>477</v>
      </c>
      <c r="B31" s="432">
        <f>SUM(B23:B30)</f>
        <v>264649</v>
      </c>
      <c r="D31" s="432">
        <f>SUM(D23:D30)</f>
        <v>245605</v>
      </c>
      <c r="F31" s="462">
        <f>SUM(F23:F30)</f>
        <v>298900</v>
      </c>
      <c r="G31" s="385"/>
      <c r="H31" s="432">
        <f>SUM(H23:H30)</f>
        <v>32776</v>
      </c>
      <c r="J31" s="432">
        <f>SUM(J23:J30)</f>
        <v>35406</v>
      </c>
      <c r="L31" s="462">
        <f>SUM(L23:L30)</f>
        <v>35500</v>
      </c>
      <c r="N31" s="432">
        <f>SUM(N23:N30)</f>
        <v>297425</v>
      </c>
      <c r="P31" s="432">
        <f>SUM(P23:P30)</f>
        <v>281011</v>
      </c>
      <c r="R31" s="432">
        <f>SUM(R23:R30)</f>
        <v>334400</v>
      </c>
      <c r="T31" s="467">
        <f t="shared" si="1"/>
        <v>0.18998900398916763</v>
      </c>
    </row>
    <row r="32" spans="1:23" ht="7.5" customHeight="1" x14ac:dyDescent="0.25">
      <c r="B32" s="385"/>
      <c r="D32" s="435"/>
      <c r="F32" s="289"/>
      <c r="H32" s="385"/>
      <c r="J32" s="435"/>
      <c r="L32" s="289"/>
      <c r="N32" s="435"/>
      <c r="P32" s="435"/>
      <c r="R32" s="385"/>
      <c r="T32" s="443"/>
    </row>
    <row r="33" spans="1:22" x14ac:dyDescent="0.25">
      <c r="A33" s="75" t="s">
        <v>11</v>
      </c>
      <c r="D33" s="443"/>
      <c r="F33" s="486"/>
      <c r="J33" s="443"/>
      <c r="L33" s="486"/>
      <c r="N33" s="443"/>
      <c r="P33" s="443"/>
      <c r="T33" s="443"/>
    </row>
    <row r="34" spans="1:22" ht="18" x14ac:dyDescent="0.4">
      <c r="A34" s="75" t="s">
        <v>147</v>
      </c>
      <c r="B34" s="118">
        <v>18479</v>
      </c>
      <c r="D34" s="432">
        <f>'Estimating Schedule - SRF'!G33</f>
        <v>12466</v>
      </c>
      <c r="F34" s="461">
        <v>15500</v>
      </c>
      <c r="H34" s="376">
        <v>0</v>
      </c>
      <c r="I34" s="384"/>
      <c r="J34" s="498">
        <f>'Estimating Schedule - SRF'!M33</f>
        <v>0</v>
      </c>
      <c r="K34" s="384"/>
      <c r="L34" s="461">
        <v>0</v>
      </c>
      <c r="N34" s="432">
        <f>H34+B34</f>
        <v>18479</v>
      </c>
      <c r="P34" s="432">
        <f>J34+D34</f>
        <v>12466</v>
      </c>
      <c r="R34" s="470">
        <f>L34+F34</f>
        <v>15500</v>
      </c>
      <c r="T34" s="467">
        <f>+R34/P34-1</f>
        <v>0.24338199903738178</v>
      </c>
    </row>
    <row r="35" spans="1:22" ht="7.5" customHeight="1" x14ac:dyDescent="0.25">
      <c r="D35" s="443"/>
      <c r="F35" s="486"/>
      <c r="J35" s="443"/>
      <c r="L35" s="486"/>
      <c r="N35" s="443"/>
      <c r="P35" s="443"/>
      <c r="T35" s="443"/>
    </row>
    <row r="36" spans="1:22" x14ac:dyDescent="0.25">
      <c r="A36" s="75" t="s">
        <v>162</v>
      </c>
      <c r="D36" s="443"/>
      <c r="F36" s="486"/>
      <c r="J36" s="443"/>
      <c r="L36" s="486"/>
      <c r="N36" s="443"/>
      <c r="P36" s="443"/>
      <c r="T36" s="443"/>
    </row>
    <row r="37" spans="1:22" ht="15" customHeight="1" x14ac:dyDescent="0.25">
      <c r="A37" s="258" t="s">
        <v>494</v>
      </c>
      <c r="B37" s="591">
        <v>19700</v>
      </c>
      <c r="C37" s="592"/>
      <c r="D37" s="593">
        <f>'Estimating Schedule - SRF'!G36</f>
        <v>53276</v>
      </c>
      <c r="E37" s="594"/>
      <c r="F37" s="595">
        <v>0</v>
      </c>
      <c r="G37" s="592"/>
      <c r="H37" s="596">
        <v>0</v>
      </c>
      <c r="I37" s="592"/>
      <c r="J37" s="593">
        <v>0</v>
      </c>
      <c r="K37" s="592"/>
      <c r="L37" s="597">
        <v>0</v>
      </c>
      <c r="M37" s="592"/>
      <c r="N37" s="593">
        <f>H37+B37</f>
        <v>19700</v>
      </c>
      <c r="O37" s="594"/>
      <c r="P37" s="593">
        <f>J37+D37</f>
        <v>53276</v>
      </c>
      <c r="Q37" s="594"/>
      <c r="R37" s="598">
        <f>L37+F37</f>
        <v>0</v>
      </c>
      <c r="S37" s="596"/>
      <c r="T37" s="466">
        <f t="shared" ref="T37:T39" si="3">+R37/P37-1</f>
        <v>-1</v>
      </c>
      <c r="U37" s="163"/>
      <c r="V37" s="163"/>
    </row>
    <row r="38" spans="1:22" ht="18" customHeight="1" x14ac:dyDescent="0.4">
      <c r="A38" s="258" t="s">
        <v>430</v>
      </c>
      <c r="B38" s="259">
        <v>0</v>
      </c>
      <c r="C38" s="223"/>
      <c r="D38" s="500">
        <f>'Estimating Schedule - SRF'!G37</f>
        <v>0</v>
      </c>
      <c r="E38" s="153"/>
      <c r="F38" s="503">
        <v>0</v>
      </c>
      <c r="G38" s="223"/>
      <c r="H38" s="259">
        <v>0</v>
      </c>
      <c r="I38" s="223"/>
      <c r="J38" s="500">
        <f>'Estimating Schedule - SRF'!M37</f>
        <v>0</v>
      </c>
      <c r="K38" s="223"/>
      <c r="L38" s="461">
        <v>0</v>
      </c>
      <c r="M38" s="223"/>
      <c r="N38" s="500">
        <f t="shared" ref="N38" si="4">H38+B38</f>
        <v>0</v>
      </c>
      <c r="O38" s="153"/>
      <c r="P38" s="500">
        <f>J38+D38</f>
        <v>0</v>
      </c>
      <c r="Q38" s="153"/>
      <c r="R38" s="376">
        <f>L38+F38</f>
        <v>0</v>
      </c>
      <c r="S38" s="163"/>
      <c r="T38" s="467">
        <v>0</v>
      </c>
      <c r="U38" s="163"/>
      <c r="V38" s="163"/>
    </row>
    <row r="39" spans="1:22" ht="18" x14ac:dyDescent="0.4">
      <c r="A39" s="122" t="s">
        <v>148</v>
      </c>
      <c r="B39" s="470">
        <f t="shared" ref="B39:S39" si="5">SUM(B37:B38)</f>
        <v>19700</v>
      </c>
      <c r="C39" s="470">
        <f t="shared" si="5"/>
        <v>0</v>
      </c>
      <c r="D39" s="470">
        <f t="shared" si="5"/>
        <v>53276</v>
      </c>
      <c r="E39" s="470">
        <f t="shared" si="5"/>
        <v>0</v>
      </c>
      <c r="F39" s="462">
        <f t="shared" si="5"/>
        <v>0</v>
      </c>
      <c r="G39" s="470">
        <f t="shared" si="5"/>
        <v>0</v>
      </c>
      <c r="H39" s="470">
        <f>SUM(H37:H38)</f>
        <v>0</v>
      </c>
      <c r="I39" s="470">
        <f t="shared" si="5"/>
        <v>0</v>
      </c>
      <c r="J39" s="470">
        <f t="shared" si="5"/>
        <v>0</v>
      </c>
      <c r="K39" s="470">
        <f t="shared" si="5"/>
        <v>0</v>
      </c>
      <c r="L39" s="462">
        <f t="shared" si="5"/>
        <v>0</v>
      </c>
      <c r="M39" s="470">
        <f t="shared" si="5"/>
        <v>0</v>
      </c>
      <c r="N39" s="470">
        <f t="shared" si="5"/>
        <v>19700</v>
      </c>
      <c r="O39" s="470">
        <f t="shared" si="5"/>
        <v>0</v>
      </c>
      <c r="P39" s="470">
        <f t="shared" si="5"/>
        <v>53276</v>
      </c>
      <c r="Q39" s="470">
        <f t="shared" si="5"/>
        <v>0</v>
      </c>
      <c r="R39" s="470">
        <f t="shared" si="5"/>
        <v>0</v>
      </c>
      <c r="S39" s="470">
        <f t="shared" si="5"/>
        <v>0</v>
      </c>
      <c r="T39" s="467">
        <f t="shared" si="3"/>
        <v>-1</v>
      </c>
    </row>
    <row r="40" spans="1:22" ht="7.5" customHeight="1" x14ac:dyDescent="0.4">
      <c r="B40" s="386"/>
      <c r="D40" s="432"/>
      <c r="F40" s="461"/>
      <c r="H40" s="386"/>
      <c r="J40" s="432"/>
      <c r="L40" s="461"/>
      <c r="N40" s="432"/>
      <c r="P40" s="432"/>
      <c r="R40" s="386"/>
      <c r="T40" s="443"/>
    </row>
    <row r="41" spans="1:22" ht="18" x14ac:dyDescent="0.4">
      <c r="A41" s="388" t="s">
        <v>264</v>
      </c>
      <c r="B41" s="386">
        <f>B20+B31+B34+B39</f>
        <v>317504</v>
      </c>
      <c r="D41" s="432">
        <f>D20+D31+D34+D39</f>
        <v>329042</v>
      </c>
      <c r="F41" s="461">
        <f>F20+F31+F34+F39</f>
        <v>332070</v>
      </c>
      <c r="G41" s="385"/>
      <c r="H41" s="432">
        <f>H20+H31+H34+H39</f>
        <v>47923</v>
      </c>
      <c r="J41" s="432">
        <f>J20+J31+J34+J39</f>
        <v>53765</v>
      </c>
      <c r="L41" s="461">
        <f>L20+L31+L34+L39</f>
        <v>53830</v>
      </c>
      <c r="N41" s="432">
        <f>N20+N31+N34+N39</f>
        <v>365427</v>
      </c>
      <c r="P41" s="432">
        <f>P20+P31+P34+P39</f>
        <v>382807</v>
      </c>
      <c r="R41" s="432">
        <f>R20+R31+R34+R39</f>
        <v>385900</v>
      </c>
      <c r="T41" s="467">
        <f>+R41/P41-1</f>
        <v>8.0797895545274834E-3</v>
      </c>
      <c r="U41" s="443">
        <f>'Estimating Schedule - SRF'!U40</f>
        <v>382807</v>
      </c>
    </row>
    <row r="42" spans="1:22" ht="7.5" customHeight="1" x14ac:dyDescent="0.25">
      <c r="B42" s="385"/>
      <c r="D42" s="435"/>
      <c r="F42" s="289"/>
      <c r="H42" s="385"/>
      <c r="J42" s="435"/>
      <c r="L42" s="289"/>
      <c r="N42" s="435"/>
      <c r="P42" s="435"/>
      <c r="R42" s="385"/>
      <c r="T42" s="443"/>
    </row>
    <row r="43" spans="1:22" x14ac:dyDescent="0.25">
      <c r="A43" s="388" t="s">
        <v>560</v>
      </c>
      <c r="D43" s="443"/>
      <c r="F43" s="486"/>
      <c r="J43" s="443"/>
      <c r="L43" s="486"/>
      <c r="N43" s="443"/>
      <c r="P43" s="443"/>
      <c r="T43" s="443"/>
    </row>
    <row r="44" spans="1:22" ht="18" x14ac:dyDescent="0.4">
      <c r="A44" s="599" t="s">
        <v>561</v>
      </c>
      <c r="B44" s="432">
        <f>B14-B41</f>
        <v>-19993</v>
      </c>
      <c r="C44" s="507"/>
      <c r="D44" s="432">
        <f>D14-D41</f>
        <v>17369</v>
      </c>
      <c r="E44" s="507"/>
      <c r="F44" s="462">
        <f>F14-F41</f>
        <v>-11530</v>
      </c>
      <c r="G44" s="508"/>
      <c r="H44" s="432">
        <f>H14-H41</f>
        <v>315584</v>
      </c>
      <c r="I44" s="507"/>
      <c r="J44" s="432">
        <f>J14-J41</f>
        <v>361973</v>
      </c>
      <c r="K44" s="507"/>
      <c r="L44" s="462">
        <f>L14-L41</f>
        <v>330690</v>
      </c>
      <c r="M44" s="507"/>
      <c r="N44" s="432">
        <f>N14-N41</f>
        <v>295591</v>
      </c>
      <c r="O44" s="507"/>
      <c r="P44" s="432">
        <f>P14-P41</f>
        <v>379342</v>
      </c>
      <c r="Q44" s="507"/>
      <c r="R44" s="432">
        <f>R14-R41</f>
        <v>319160</v>
      </c>
      <c r="S44" s="443"/>
      <c r="T44" s="467">
        <f>+R44/P44-1</f>
        <v>-0.15864839643382489</v>
      </c>
    </row>
    <row r="45" spans="1:22" ht="7.5" customHeight="1" x14ac:dyDescent="0.25">
      <c r="B45" s="443"/>
      <c r="C45" s="443"/>
      <c r="D45" s="443"/>
      <c r="E45" s="443"/>
      <c r="F45" s="509"/>
      <c r="G45" s="443"/>
      <c r="H45" s="443"/>
      <c r="I45" s="443"/>
      <c r="J45" s="443"/>
      <c r="K45" s="443"/>
      <c r="L45" s="509"/>
      <c r="M45" s="443"/>
      <c r="N45" s="443"/>
      <c r="O45" s="443"/>
      <c r="P45" s="443"/>
      <c r="Q45" s="443"/>
      <c r="R45" s="443"/>
      <c r="S45" s="443"/>
      <c r="T45" s="443"/>
    </row>
    <row r="46" spans="1:22" x14ac:dyDescent="0.25">
      <c r="A46" s="117" t="s">
        <v>16</v>
      </c>
      <c r="D46" s="443"/>
      <c r="F46" s="486"/>
      <c r="J46" s="443"/>
      <c r="L46" s="486"/>
      <c r="N46" s="443"/>
      <c r="P46" s="443"/>
      <c r="T46" s="443"/>
    </row>
    <row r="47" spans="1:22" x14ac:dyDescent="0.25">
      <c r="A47" s="75" t="s">
        <v>421</v>
      </c>
      <c r="B47" s="361">
        <f>-H49</f>
        <v>375000</v>
      </c>
      <c r="C47" s="387"/>
      <c r="D47" s="455">
        <f>'Estimating Schedule - SRF'!G46</f>
        <v>325000</v>
      </c>
      <c r="E47" s="387"/>
      <c r="F47" s="289">
        <f>-L49</f>
        <v>280000</v>
      </c>
      <c r="G47" s="387"/>
      <c r="H47" s="361">
        <v>0</v>
      </c>
      <c r="I47" s="387"/>
      <c r="J47" s="447">
        <f>'Estimating Schedule - SRF'!M46</f>
        <v>0</v>
      </c>
      <c r="K47" s="387"/>
      <c r="L47" s="289">
        <v>0</v>
      </c>
      <c r="N47" s="455">
        <f>H47+B47</f>
        <v>375000</v>
      </c>
      <c r="O47" s="387"/>
      <c r="P47" s="455">
        <f>D47+J47</f>
        <v>325000</v>
      </c>
      <c r="Q47" s="163"/>
      <c r="R47" s="361">
        <f>L47+F47</f>
        <v>280000</v>
      </c>
      <c r="T47" s="466">
        <f t="shared" ref="T47:T49" si="6">+R47/P47-1</f>
        <v>-0.13846153846153841</v>
      </c>
    </row>
    <row r="48" spans="1:22" x14ac:dyDescent="0.25">
      <c r="A48" s="75" t="s">
        <v>446</v>
      </c>
      <c r="B48" s="361">
        <v>-330000</v>
      </c>
      <c r="C48" s="387"/>
      <c r="D48" s="455">
        <f>'Estimating Schedule - SRF'!G47</f>
        <v>-280000</v>
      </c>
      <c r="E48" s="387"/>
      <c r="F48" s="289">
        <v>-230000</v>
      </c>
      <c r="G48" s="387"/>
      <c r="H48" s="387">
        <v>0</v>
      </c>
      <c r="I48" s="387"/>
      <c r="J48" s="447">
        <f>'Estimating Schedule - SRF'!M47</f>
        <v>0</v>
      </c>
      <c r="K48" s="163"/>
      <c r="L48" s="289">
        <v>0</v>
      </c>
      <c r="N48" s="455">
        <f>H48+B48</f>
        <v>-330000</v>
      </c>
      <c r="O48" s="387"/>
      <c r="P48" s="455">
        <f t="shared" ref="P48:P49" si="7">D48+J48</f>
        <v>-280000</v>
      </c>
      <c r="Q48" s="163"/>
      <c r="R48" s="361">
        <f>L48+F48</f>
        <v>-230000</v>
      </c>
      <c r="T48" s="466">
        <f t="shared" si="6"/>
        <v>-0.1785714285714286</v>
      </c>
    </row>
    <row r="49" spans="1:20" ht="18" x14ac:dyDescent="0.4">
      <c r="A49" s="75" t="s">
        <v>447</v>
      </c>
      <c r="B49" s="383">
        <v>0</v>
      </c>
      <c r="C49" s="381"/>
      <c r="D49" s="501">
        <f>'Estimating Schedule - SRF'!G48</f>
        <v>0</v>
      </c>
      <c r="E49" s="381"/>
      <c r="F49" s="496">
        <v>0</v>
      </c>
      <c r="G49" s="153"/>
      <c r="H49" s="383">
        <v>-375000</v>
      </c>
      <c r="I49" s="381"/>
      <c r="J49" s="501">
        <f>'Estimating Schedule - SRF'!M48</f>
        <v>-325000</v>
      </c>
      <c r="K49" s="381"/>
      <c r="L49" s="496">
        <v>-280000</v>
      </c>
      <c r="M49" s="381"/>
      <c r="N49" s="501">
        <f>H49+B49</f>
        <v>-375000</v>
      </c>
      <c r="O49" s="381"/>
      <c r="P49" s="501">
        <f t="shared" si="7"/>
        <v>-325000</v>
      </c>
      <c r="Q49" s="223"/>
      <c r="R49" s="383">
        <f>L49+F49</f>
        <v>-280000</v>
      </c>
      <c r="S49" s="153"/>
      <c r="T49" s="477">
        <f t="shared" si="6"/>
        <v>-0.13846153846153841</v>
      </c>
    </row>
    <row r="50" spans="1:20" ht="18" x14ac:dyDescent="0.4">
      <c r="A50" s="75" t="s">
        <v>450</v>
      </c>
      <c r="B50" s="384"/>
      <c r="C50" s="384"/>
      <c r="D50" s="501"/>
      <c r="E50" s="384"/>
      <c r="F50" s="461"/>
      <c r="H50" s="118"/>
      <c r="J50" s="473"/>
      <c r="L50" s="504"/>
      <c r="N50" s="432"/>
      <c r="P50" s="432"/>
      <c r="R50" s="386"/>
      <c r="T50" s="467"/>
    </row>
    <row r="51" spans="1:20" ht="18" x14ac:dyDescent="0.4">
      <c r="A51" s="75" t="s">
        <v>451</v>
      </c>
      <c r="B51" s="470">
        <f>SUM(B47:B49)</f>
        <v>45000</v>
      </c>
      <c r="C51" s="498"/>
      <c r="D51" s="470">
        <f>SUM(D47:D49)</f>
        <v>45000</v>
      </c>
      <c r="E51" s="498"/>
      <c r="F51" s="462">
        <f>SUM(F47:F49)</f>
        <v>50000</v>
      </c>
      <c r="G51" s="443"/>
      <c r="H51" s="502">
        <f>SUM(H47:H49)</f>
        <v>-375000</v>
      </c>
      <c r="I51" s="443"/>
      <c r="J51" s="502">
        <f>SUM(J47:J49)</f>
        <v>-325000</v>
      </c>
      <c r="K51" s="443"/>
      <c r="L51" s="462">
        <f>SUM(L47:L49)</f>
        <v>-280000</v>
      </c>
      <c r="M51" s="443"/>
      <c r="N51" s="502">
        <f>SUM(N47:N49)</f>
        <v>-330000</v>
      </c>
      <c r="O51" s="443"/>
      <c r="P51" s="502">
        <f>SUM(P47:P49)</f>
        <v>-280000</v>
      </c>
      <c r="Q51" s="498"/>
      <c r="R51" s="502">
        <f>SUM(R47:R49)</f>
        <v>-230000</v>
      </c>
      <c r="S51" s="443"/>
      <c r="T51" s="467">
        <v>0</v>
      </c>
    </row>
    <row r="52" spans="1:20" ht="7.5" customHeight="1" x14ac:dyDescent="0.4">
      <c r="B52" s="118"/>
      <c r="D52" s="502"/>
      <c r="F52" s="504"/>
      <c r="H52" s="118"/>
      <c r="J52" s="502"/>
      <c r="L52" s="504"/>
      <c r="N52" s="502"/>
      <c r="P52" s="502"/>
      <c r="R52" s="118"/>
      <c r="T52" s="443"/>
    </row>
    <row r="53" spans="1:20" ht="15" customHeight="1" x14ac:dyDescent="0.4">
      <c r="A53" s="75" t="s">
        <v>160</v>
      </c>
      <c r="B53" s="118"/>
      <c r="D53" s="502"/>
      <c r="F53" s="504"/>
      <c r="H53" s="118"/>
      <c r="J53" s="502"/>
      <c r="L53" s="504"/>
      <c r="N53" s="502"/>
      <c r="P53" s="502"/>
      <c r="R53" s="118"/>
      <c r="T53" s="443"/>
    </row>
    <row r="54" spans="1:20" x14ac:dyDescent="0.25">
      <c r="A54" s="75" t="s">
        <v>448</v>
      </c>
      <c r="D54" s="443"/>
      <c r="F54" s="486"/>
      <c r="J54" s="443"/>
      <c r="L54" s="486"/>
      <c r="N54" s="443"/>
      <c r="P54" s="443"/>
      <c r="T54" s="443"/>
    </row>
    <row r="55" spans="1:20" x14ac:dyDescent="0.25">
      <c r="A55" s="75" t="s">
        <v>449</v>
      </c>
      <c r="B55" s="435">
        <f>B44+B51</f>
        <v>25007</v>
      </c>
      <c r="D55" s="435">
        <f>D44+D51</f>
        <v>62369</v>
      </c>
      <c r="F55" s="289">
        <f>F44+F51</f>
        <v>38470</v>
      </c>
      <c r="H55" s="435">
        <f>H44+H51</f>
        <v>-59416</v>
      </c>
      <c r="J55" s="435">
        <f>J51+J44</f>
        <v>36973</v>
      </c>
      <c r="L55" s="289">
        <f>L51+L44</f>
        <v>50690</v>
      </c>
      <c r="N55" s="435">
        <f>N51+N44</f>
        <v>-34409</v>
      </c>
      <c r="P55" s="435">
        <f>P51+P44</f>
        <v>99342</v>
      </c>
      <c r="R55" s="385">
        <f>R51+R44</f>
        <v>89160</v>
      </c>
      <c r="T55" s="466">
        <f>+R55/P55-1</f>
        <v>-0.10249441323911335</v>
      </c>
    </row>
    <row r="56" spans="1:20" ht="7.5" customHeight="1" x14ac:dyDescent="0.25">
      <c r="D56" s="443"/>
      <c r="F56" s="486"/>
      <c r="J56" s="443"/>
      <c r="L56" s="486"/>
      <c r="N56" s="443"/>
      <c r="P56" s="443"/>
      <c r="T56" s="443"/>
    </row>
    <row r="57" spans="1:20" ht="18" x14ac:dyDescent="0.4">
      <c r="A57" s="117" t="s">
        <v>150</v>
      </c>
      <c r="B57" s="386">
        <v>85490</v>
      </c>
      <c r="D57" s="432">
        <f>B58</f>
        <v>110497</v>
      </c>
      <c r="F57" s="432">
        <f>+D58</f>
        <v>172866</v>
      </c>
      <c r="G57" s="432"/>
      <c r="H57" s="432">
        <v>341689</v>
      </c>
      <c r="I57" s="432"/>
      <c r="J57" s="432">
        <f>H58</f>
        <v>282273</v>
      </c>
      <c r="K57" s="432"/>
      <c r="L57" s="432">
        <f>+J58</f>
        <v>319246</v>
      </c>
      <c r="N57" s="502">
        <f>B57+H57</f>
        <v>427179</v>
      </c>
      <c r="P57" s="432">
        <f>J57+D57</f>
        <v>392770</v>
      </c>
      <c r="R57" s="432">
        <f>L57+F57</f>
        <v>492112</v>
      </c>
      <c r="T57" s="467">
        <f>+R57/P57-1</f>
        <v>0.25292664918400076</v>
      </c>
    </row>
    <row r="58" spans="1:20" ht="18" x14ac:dyDescent="0.4">
      <c r="A58" s="117" t="s">
        <v>104</v>
      </c>
      <c r="B58" s="444">
        <f>B55+B57</f>
        <v>110497</v>
      </c>
      <c r="C58" s="435"/>
      <c r="D58" s="444">
        <f>D55+D57</f>
        <v>172866</v>
      </c>
      <c r="E58" s="435"/>
      <c r="F58" s="444">
        <f>F55+F57</f>
        <v>211336</v>
      </c>
      <c r="G58" s="444"/>
      <c r="H58" s="444">
        <f>H55+H57</f>
        <v>282273</v>
      </c>
      <c r="I58" s="444"/>
      <c r="J58" s="444">
        <f>J57+J55</f>
        <v>319246</v>
      </c>
      <c r="K58" s="444"/>
      <c r="L58" s="444">
        <f>L57+L55</f>
        <v>369936</v>
      </c>
      <c r="M58" s="444"/>
      <c r="N58" s="444">
        <f>N57+N55</f>
        <v>392770</v>
      </c>
      <c r="O58" s="444"/>
      <c r="P58" s="444">
        <f>P57+P55</f>
        <v>492112</v>
      </c>
      <c r="Q58" s="444"/>
      <c r="R58" s="444">
        <f>R57+R55</f>
        <v>581272</v>
      </c>
      <c r="S58" s="443"/>
      <c r="T58" s="474">
        <f>+R58/P58-1</f>
        <v>0.18117826836167383</v>
      </c>
    </row>
    <row r="59" spans="1:20" x14ac:dyDescent="0.25">
      <c r="F59" s="486"/>
    </row>
    <row r="61" spans="1:20" x14ac:dyDescent="0.25">
      <c r="D61" s="319">
        <f>'Estimating Schedule - SRF'!G53</f>
        <v>62369</v>
      </c>
      <c r="J61" s="319">
        <f>'Estimating Schedule - SRF'!M53</f>
        <v>36973</v>
      </c>
      <c r="P61" s="319">
        <f>P55-'Estimating Schedule - SRF'!U53</f>
        <v>0</v>
      </c>
    </row>
    <row r="63" spans="1:20" x14ac:dyDescent="0.25">
      <c r="J63" s="319">
        <f>J61-J55</f>
        <v>0</v>
      </c>
      <c r="P63" s="319">
        <f>J55+D55</f>
        <v>99342</v>
      </c>
    </row>
    <row r="65" spans="4:4" x14ac:dyDescent="0.25">
      <c r="D65" s="319">
        <f>D61-D55</f>
        <v>0</v>
      </c>
    </row>
  </sheetData>
  <mergeCells count="4">
    <mergeCell ref="A5:R5"/>
    <mergeCell ref="A4:R4"/>
    <mergeCell ref="A3:R3"/>
    <mergeCell ref="A2:R2"/>
  </mergeCells>
  <phoneticPr fontId="0" type="noConversion"/>
  <pageMargins left="0.5" right="0" top="0.5" bottom="0.75" header="0.25" footer="0.25"/>
  <pageSetup scale="65" orientation="portrait" r:id="rId1"/>
  <headerFooter alignWithMargins="0">
    <oddFooter>&amp;L&amp;"Times New Roman,Regular"&amp;9&amp;D &amp;C&amp;"Times New Roman,Regular"&amp;9&amp;Z&amp;F&amp;R&amp;"Times New Roman,Regular"&amp;9&amp;A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1"/>
  <dimension ref="A1:R33"/>
  <sheetViews>
    <sheetView view="pageBreakPreview" topLeftCell="A5" zoomScaleNormal="75" workbookViewId="0">
      <selection activeCell="G18" sqref="G18"/>
    </sheetView>
  </sheetViews>
  <sheetFormatPr defaultColWidth="9.77734375" defaultRowHeight="15.75" x14ac:dyDescent="0.25"/>
  <cols>
    <col min="1" max="1" width="13.21875" style="1" customWidth="1"/>
    <col min="2" max="2" width="9.6640625" style="1" customWidth="1"/>
    <col min="3" max="3" width="2.33203125" style="1" customWidth="1"/>
    <col min="4" max="4" width="1.77734375" style="1" customWidth="1"/>
    <col min="5" max="5" width="8.88671875" style="21" customWidth="1"/>
    <col min="6" max="6" width="1.77734375" style="1" customWidth="1"/>
    <col min="7" max="7" width="8.44140625" style="21" bestFit="1" customWidth="1"/>
    <col min="8" max="8" width="1.77734375" style="1" customWidth="1"/>
    <col min="9" max="9" width="9.77734375" style="21"/>
    <col min="10" max="10" width="5.77734375" style="1" hidden="1" customWidth="1"/>
    <col min="11" max="11" width="0" style="21" hidden="1" customWidth="1"/>
    <col min="12" max="12" width="1.77734375" style="1" hidden="1" customWidth="1"/>
    <col min="13" max="13" width="0" style="21" hidden="1" customWidth="1"/>
    <col min="14" max="14" width="1.77734375" style="1" hidden="1" customWidth="1"/>
    <col min="15" max="15" width="0" style="21" hidden="1" customWidth="1"/>
    <col min="16" max="16" width="2" style="1" customWidth="1"/>
    <col min="17" max="17" width="9.6640625" style="1" customWidth="1"/>
    <col min="18" max="16384" width="9.77734375" style="1"/>
  </cols>
  <sheetData>
    <row r="1" spans="1:17" x14ac:dyDescent="0.25">
      <c r="P1" s="19"/>
      <c r="Q1" s="19" t="s">
        <v>306</v>
      </c>
    </row>
    <row r="2" spans="1:17" x14ac:dyDescent="0.25">
      <c r="A2" s="615" t="s">
        <v>45</v>
      </c>
      <c r="B2" s="615"/>
      <c r="C2" s="615"/>
      <c r="D2" s="615"/>
      <c r="E2" s="615"/>
      <c r="F2" s="615"/>
      <c r="G2" s="615"/>
      <c r="H2" s="615"/>
      <c r="I2" s="615"/>
      <c r="J2" s="615"/>
      <c r="K2" s="615"/>
      <c r="L2" s="615"/>
      <c r="M2" s="615"/>
      <c r="N2" s="615"/>
      <c r="O2" s="615"/>
      <c r="P2" s="615"/>
      <c r="Q2" s="615"/>
    </row>
    <row r="3" spans="1:17" x14ac:dyDescent="0.25">
      <c r="A3" s="615" t="s">
        <v>316</v>
      </c>
      <c r="B3" s="615"/>
      <c r="C3" s="615"/>
      <c r="D3" s="615"/>
      <c r="E3" s="615"/>
      <c r="F3" s="615"/>
      <c r="G3" s="615"/>
      <c r="H3" s="615"/>
      <c r="I3" s="615"/>
      <c r="J3" s="615"/>
      <c r="K3" s="615"/>
      <c r="L3" s="615"/>
      <c r="M3" s="615"/>
      <c r="N3" s="615"/>
      <c r="O3" s="615"/>
      <c r="P3" s="615"/>
      <c r="Q3" s="615"/>
    </row>
    <row r="4" spans="1:17" x14ac:dyDescent="0.25">
      <c r="A4" s="615" t="s">
        <v>456</v>
      </c>
      <c r="B4" s="615"/>
      <c r="C4" s="615"/>
      <c r="D4" s="615"/>
      <c r="E4" s="615"/>
      <c r="F4" s="615"/>
      <c r="G4" s="615"/>
      <c r="H4" s="615"/>
      <c r="I4" s="615"/>
      <c r="J4" s="615"/>
      <c r="K4" s="615"/>
      <c r="L4" s="615"/>
      <c r="M4" s="615"/>
      <c r="N4" s="615"/>
      <c r="O4" s="615"/>
      <c r="P4" s="615"/>
      <c r="Q4" s="615"/>
    </row>
    <row r="5" spans="1:17" x14ac:dyDescent="0.25">
      <c r="A5" s="615" t="s">
        <v>540</v>
      </c>
      <c r="B5" s="615"/>
      <c r="C5" s="615"/>
      <c r="D5" s="615"/>
      <c r="E5" s="615"/>
      <c r="F5" s="615"/>
      <c r="G5" s="615"/>
      <c r="H5" s="615"/>
      <c r="I5" s="615"/>
      <c r="J5" s="615"/>
      <c r="K5" s="615"/>
      <c r="L5" s="615"/>
      <c r="M5" s="615"/>
      <c r="N5" s="615"/>
      <c r="O5" s="615"/>
      <c r="P5" s="615"/>
      <c r="Q5" s="615"/>
    </row>
    <row r="8" spans="1:17" x14ac:dyDescent="0.25">
      <c r="E8" s="621" t="s">
        <v>105</v>
      </c>
      <c r="F8" s="621"/>
      <c r="G8" s="621"/>
      <c r="H8" s="621"/>
      <c r="I8" s="621"/>
      <c r="K8" s="32" t="s">
        <v>105</v>
      </c>
      <c r="L8" s="5"/>
      <c r="M8" s="23"/>
      <c r="N8" s="5"/>
      <c r="O8" s="23"/>
    </row>
    <row r="9" spans="1:17" x14ac:dyDescent="0.25">
      <c r="C9" s="70"/>
      <c r="D9" s="70"/>
      <c r="E9" s="69">
        <v>2019</v>
      </c>
      <c r="F9" s="70"/>
      <c r="G9" s="69">
        <f>E9+1</f>
        <v>2020</v>
      </c>
      <c r="H9" s="70"/>
      <c r="I9" s="69">
        <f>G9+1</f>
        <v>2021</v>
      </c>
      <c r="J9" s="70"/>
      <c r="K9" s="69" t="e">
        <f>#REF!</f>
        <v>#REF!</v>
      </c>
      <c r="L9" s="70"/>
      <c r="M9" s="69" t="e">
        <f>#REF!</f>
        <v>#REF!</v>
      </c>
      <c r="N9" s="70"/>
      <c r="O9" s="69" t="e">
        <f>#REF!</f>
        <v>#REF!</v>
      </c>
    </row>
    <row r="10" spans="1:17" x14ac:dyDescent="0.25">
      <c r="E10" s="47" t="s">
        <v>81</v>
      </c>
      <c r="G10" s="47" t="s">
        <v>82</v>
      </c>
      <c r="I10" s="47" t="s">
        <v>83</v>
      </c>
      <c r="K10" s="47" t="s">
        <v>81</v>
      </c>
      <c r="M10" s="47" t="s">
        <v>82</v>
      </c>
      <c r="O10" s="47" t="s">
        <v>83</v>
      </c>
    </row>
    <row r="11" spans="1:17" x14ac:dyDescent="0.25">
      <c r="A11" s="2" t="s">
        <v>0</v>
      </c>
      <c r="E11" s="30"/>
      <c r="G11" s="30"/>
      <c r="I11" s="30"/>
      <c r="K11" s="30"/>
      <c r="M11" s="30"/>
      <c r="O11" s="30"/>
    </row>
    <row r="12" spans="1:17" x14ac:dyDescent="0.25">
      <c r="A12" s="1" t="s">
        <v>153</v>
      </c>
      <c r="E12" s="30"/>
      <c r="G12" s="30"/>
      <c r="I12" s="30"/>
      <c r="K12" s="30"/>
      <c r="M12" s="30"/>
      <c r="O12" s="30"/>
    </row>
    <row r="13" spans="1:17" ht="18" x14ac:dyDescent="0.4">
      <c r="A13" s="1" t="s">
        <v>154</v>
      </c>
      <c r="E13" s="250">
        <v>0</v>
      </c>
      <c r="F13" s="177"/>
      <c r="G13" s="250">
        <f>'Estimating Schedule - DSF'!K14</f>
        <v>0</v>
      </c>
      <c r="H13" s="177"/>
      <c r="I13" s="250">
        <v>0</v>
      </c>
      <c r="K13" s="44" t="e">
        <f>E13+#REF!</f>
        <v>#REF!</v>
      </c>
      <c r="M13" s="44" t="e">
        <f>G13+#REF!</f>
        <v>#REF!</v>
      </c>
      <c r="O13" s="44" t="e">
        <f>I13+#REF!</f>
        <v>#REF!</v>
      </c>
      <c r="Q13" s="449">
        <v>0</v>
      </c>
    </row>
    <row r="14" spans="1:17" x14ac:dyDescent="0.25">
      <c r="E14" s="30"/>
      <c r="G14" s="30"/>
      <c r="I14" s="30"/>
      <c r="K14" s="30"/>
      <c r="M14" s="30"/>
      <c r="O14" s="30"/>
      <c r="Q14" s="427"/>
    </row>
    <row r="15" spans="1:17" x14ac:dyDescent="0.25">
      <c r="A15" s="2" t="s">
        <v>7</v>
      </c>
      <c r="E15" s="30"/>
      <c r="G15" s="30"/>
      <c r="I15" s="30"/>
      <c r="K15" s="30"/>
      <c r="M15" s="30"/>
      <c r="O15" s="30"/>
      <c r="Q15" s="427"/>
    </row>
    <row r="16" spans="1:17" x14ac:dyDescent="0.25">
      <c r="A16" s="1" t="s">
        <v>155</v>
      </c>
      <c r="E16" s="30"/>
      <c r="G16" s="30"/>
      <c r="I16" s="30"/>
      <c r="K16" s="30"/>
      <c r="M16" s="30"/>
      <c r="O16" s="30"/>
      <c r="Q16" s="427"/>
    </row>
    <row r="17" spans="1:18" x14ac:dyDescent="0.25">
      <c r="A17" s="1" t="s">
        <v>156</v>
      </c>
      <c r="E17" s="387">
        <v>0</v>
      </c>
      <c r="F17" s="387"/>
      <c r="G17" s="387">
        <f>'Estimating Schedule - DSF'!K18</f>
        <v>0</v>
      </c>
      <c r="H17" s="387"/>
      <c r="I17" s="387">
        <v>0</v>
      </c>
      <c r="K17" s="30" t="e">
        <f>E17+#REF!</f>
        <v>#REF!</v>
      </c>
      <c r="M17" s="30" t="e">
        <f>G17+#REF!</f>
        <v>#REF!</v>
      </c>
      <c r="O17" s="30" t="e">
        <f>I17+#REF!</f>
        <v>#REF!</v>
      </c>
      <c r="Q17" s="448">
        <v>0</v>
      </c>
      <c r="R17" s="48"/>
    </row>
    <row r="18" spans="1:18" x14ac:dyDescent="0.25">
      <c r="A18" s="1" t="s">
        <v>157</v>
      </c>
      <c r="E18" s="387">
        <v>0</v>
      </c>
      <c r="F18" s="387"/>
      <c r="G18" s="387">
        <f>'Estimating Schedule - DSF'!K19</f>
        <v>0</v>
      </c>
      <c r="H18" s="387"/>
      <c r="I18" s="387">
        <v>0</v>
      </c>
      <c r="K18" s="30" t="e">
        <f>E18+#REF!</f>
        <v>#REF!</v>
      </c>
      <c r="M18" s="30" t="e">
        <f>G18+#REF!</f>
        <v>#REF!</v>
      </c>
      <c r="O18" s="30" t="e">
        <f>I18+#REF!</f>
        <v>#REF!</v>
      </c>
      <c r="Q18" s="448">
        <v>0</v>
      </c>
    </row>
    <row r="19" spans="1:18" ht="18" x14ac:dyDescent="0.4">
      <c r="A19" s="1" t="s">
        <v>158</v>
      </c>
      <c r="E19" s="303">
        <v>0</v>
      </c>
      <c r="F19" s="303"/>
      <c r="G19" s="303">
        <f>'Estimating Schedule - DSF'!K20</f>
        <v>0</v>
      </c>
      <c r="H19" s="161"/>
      <c r="I19" s="303">
        <v>0</v>
      </c>
      <c r="K19" s="44" t="e">
        <f>E19+#REF!</f>
        <v>#REF!</v>
      </c>
      <c r="M19" s="44" t="e">
        <f>G19+#REF!</f>
        <v>#REF!</v>
      </c>
      <c r="O19" s="44" t="e">
        <f>I19+#REF!</f>
        <v>#REF!</v>
      </c>
      <c r="Q19" s="449">
        <v>0</v>
      </c>
    </row>
    <row r="20" spans="1:18" ht="18" x14ac:dyDescent="0.4">
      <c r="A20" s="1" t="s">
        <v>159</v>
      </c>
      <c r="E20" s="303">
        <f>SUM(E16:E19)</f>
        <v>0</v>
      </c>
      <c r="F20" s="303"/>
      <c r="G20" s="303">
        <f>SUM(G17:G19)</f>
        <v>0</v>
      </c>
      <c r="H20" s="161"/>
      <c r="I20" s="303">
        <f>SUM(I17:I19)</f>
        <v>0</v>
      </c>
      <c r="K20" s="44" t="e">
        <f>SUM(K16:K19)</f>
        <v>#REF!</v>
      </c>
      <c r="M20" s="44" t="e">
        <f>SUM(M16:M19)</f>
        <v>#REF!</v>
      </c>
      <c r="O20" s="44" t="e">
        <f>SUM(O16:O19)</f>
        <v>#REF!</v>
      </c>
      <c r="Q20" s="449">
        <v>0</v>
      </c>
    </row>
    <row r="21" spans="1:18" x14ac:dyDescent="0.25">
      <c r="E21" s="30"/>
      <c r="G21" s="30"/>
      <c r="I21" s="30"/>
      <c r="K21" s="30"/>
      <c r="M21" s="30"/>
      <c r="O21" s="30"/>
      <c r="Q21" s="427"/>
    </row>
    <row r="22" spans="1:18" x14ac:dyDescent="0.25">
      <c r="A22" s="1" t="s">
        <v>428</v>
      </c>
      <c r="E22" s="30"/>
      <c r="G22" s="30"/>
      <c r="I22" s="30"/>
      <c r="K22" s="30"/>
      <c r="M22" s="30"/>
      <c r="O22" s="30"/>
      <c r="Q22" s="427"/>
    </row>
    <row r="23" spans="1:18" ht="18" x14ac:dyDescent="0.4">
      <c r="A23" s="1" t="s">
        <v>273</v>
      </c>
      <c r="E23" s="387">
        <f>E13-E20</f>
        <v>0</v>
      </c>
      <c r="F23" s="387"/>
      <c r="G23" s="387">
        <f>G13-G20</f>
        <v>0</v>
      </c>
      <c r="H23" s="387"/>
      <c r="I23" s="387">
        <f>I13-I20</f>
        <v>0</v>
      </c>
      <c r="J23" s="135"/>
      <c r="K23" s="44" t="e">
        <f>#REF!-#REF!</f>
        <v>#REF!</v>
      </c>
      <c r="L23" s="135"/>
      <c r="M23" s="44" t="e">
        <f>#REF!-#REF!</f>
        <v>#REF!</v>
      </c>
      <c r="N23" s="135"/>
      <c r="O23" s="44" t="e">
        <f>#REF!-#REF!</f>
        <v>#REF!</v>
      </c>
      <c r="Q23" s="448">
        <v>0</v>
      </c>
    </row>
    <row r="24" spans="1:18" x14ac:dyDescent="0.25">
      <c r="E24" s="30"/>
      <c r="G24" s="30"/>
      <c r="I24" s="30"/>
      <c r="K24" s="30"/>
      <c r="M24" s="30"/>
      <c r="O24" s="30"/>
      <c r="Q24" s="427"/>
    </row>
    <row r="25" spans="1:18" x14ac:dyDescent="0.25">
      <c r="A25" s="2" t="s">
        <v>439</v>
      </c>
      <c r="Q25" s="427"/>
    </row>
    <row r="26" spans="1:18" ht="18" x14ac:dyDescent="0.4">
      <c r="A26" s="1" t="s">
        <v>213</v>
      </c>
      <c r="E26" s="176">
        <v>0</v>
      </c>
      <c r="F26" s="135"/>
      <c r="G26" s="303">
        <f>'Estimating Schedule - DSF'!K27</f>
        <v>0</v>
      </c>
      <c r="H26" s="161"/>
      <c r="I26" s="303">
        <v>0</v>
      </c>
      <c r="K26" s="30" t="e">
        <f>E26+#REF!</f>
        <v>#REF!</v>
      </c>
      <c r="M26" s="30" t="e">
        <f>G26+#REF!</f>
        <v>#REF!</v>
      </c>
      <c r="O26" s="30" t="e">
        <f>I26+#REF!</f>
        <v>#REF!</v>
      </c>
      <c r="Q26" s="449">
        <v>0</v>
      </c>
    </row>
    <row r="27" spans="1:18" x14ac:dyDescent="0.25">
      <c r="Q27" s="427"/>
    </row>
    <row r="28" spans="1:18" x14ac:dyDescent="0.25">
      <c r="A28" s="1" t="s">
        <v>427</v>
      </c>
      <c r="Q28" s="427"/>
    </row>
    <row r="29" spans="1:18" x14ac:dyDescent="0.25">
      <c r="A29" s="1" t="s">
        <v>18</v>
      </c>
      <c r="E29" s="21">
        <f>E23+E26</f>
        <v>0</v>
      </c>
      <c r="G29" s="387">
        <f>G23+G26</f>
        <v>0</v>
      </c>
      <c r="H29" s="387"/>
      <c r="I29" s="387">
        <f>I23+I26</f>
        <v>0</v>
      </c>
      <c r="K29" s="21" t="e">
        <f>K23+#REF!</f>
        <v>#REF!</v>
      </c>
      <c r="M29" s="21" t="e">
        <f>M23+#REF!</f>
        <v>#REF!</v>
      </c>
      <c r="N29" s="1" t="s">
        <v>19</v>
      </c>
      <c r="O29" s="21" t="e">
        <f>O23+#REF!</f>
        <v>#REF!</v>
      </c>
      <c r="Q29" s="448">
        <v>0</v>
      </c>
    </row>
    <row r="30" spans="1:18" x14ac:dyDescent="0.25">
      <c r="Q30" s="427"/>
    </row>
    <row r="31" spans="1:18" ht="18" x14ac:dyDescent="0.4">
      <c r="A31" s="2" t="s">
        <v>150</v>
      </c>
      <c r="E31" s="44">
        <v>0</v>
      </c>
      <c r="G31" s="303">
        <f>E33</f>
        <v>0</v>
      </c>
      <c r="H31" s="303"/>
      <c r="I31" s="303">
        <f>G33</f>
        <v>0</v>
      </c>
      <c r="K31" s="44" t="e">
        <f>E31+#REF!</f>
        <v>#REF!</v>
      </c>
      <c r="M31" s="44" t="e">
        <f>K33</f>
        <v>#REF!</v>
      </c>
      <c r="O31" s="44" t="e">
        <f>M33</f>
        <v>#REF!</v>
      </c>
      <c r="Q31" s="449">
        <v>0</v>
      </c>
    </row>
    <row r="32" spans="1:18" x14ac:dyDescent="0.25">
      <c r="E32" s="30"/>
      <c r="G32" s="30"/>
      <c r="I32" s="30"/>
      <c r="K32" s="30"/>
      <c r="M32" s="30"/>
      <c r="O32" s="30"/>
      <c r="Q32" s="427"/>
    </row>
    <row r="33" spans="1:17" ht="18" x14ac:dyDescent="0.4">
      <c r="A33" s="2" t="s">
        <v>104</v>
      </c>
      <c r="E33" s="400">
        <f>E29+E31</f>
        <v>0</v>
      </c>
      <c r="F33" s="401"/>
      <c r="G33" s="400">
        <f>G29+G31</f>
        <v>0</v>
      </c>
      <c r="H33" s="401"/>
      <c r="I33" s="400">
        <f>I29+I31</f>
        <v>0</v>
      </c>
      <c r="K33" s="134" t="e">
        <f>K29+K31</f>
        <v>#REF!</v>
      </c>
      <c r="L33" s="3"/>
      <c r="M33" s="134" t="e">
        <f>M29+M31</f>
        <v>#REF!</v>
      </c>
      <c r="N33" s="3"/>
      <c r="O33" s="134" t="e">
        <f>O29+O31</f>
        <v>#REF!</v>
      </c>
      <c r="Q33" s="450">
        <v>0</v>
      </c>
    </row>
  </sheetData>
  <mergeCells count="5">
    <mergeCell ref="E8:I8"/>
    <mergeCell ref="A2:Q2"/>
    <mergeCell ref="A3:Q3"/>
    <mergeCell ref="A5:Q5"/>
    <mergeCell ref="A4:Q4"/>
  </mergeCells>
  <phoneticPr fontId="0" type="noConversion"/>
  <pageMargins left="1" right="1" top="0.5" bottom="0.25" header="0.25" footer="0"/>
  <pageSetup scale="99" orientation="portrait" r:id="rId1"/>
  <headerFooter alignWithMargins="0">
    <oddFooter>&amp;L&amp;"Times New Roman,Regular"&amp;9&amp;D &amp;C&amp;"Times New Roman,Regular"&amp;9&amp;Z&amp;F&amp;R&amp;"Times New Roman,Regular"&amp;9&amp;A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Budget Ordinances</vt:lpstr>
      <vt:lpstr>Title Page</vt:lpstr>
      <vt:lpstr> Table of contents</vt:lpstr>
      <vt:lpstr> Budget message</vt:lpstr>
      <vt:lpstr>Consolidated Budget</vt:lpstr>
      <vt:lpstr>Capital Outlay Budget Request</vt:lpstr>
      <vt:lpstr>General Fund</vt:lpstr>
      <vt:lpstr>Sales Tax Funds</vt:lpstr>
      <vt:lpstr>Debt Service Funds</vt:lpstr>
      <vt:lpstr>Capital Projects Fund</vt:lpstr>
      <vt:lpstr>Utility Fund</vt:lpstr>
      <vt:lpstr>Utility Fund - analysis by dept</vt:lpstr>
      <vt:lpstr>Estimating Schedules-Divider </vt:lpstr>
      <vt:lpstr>Estimating Schedule - GF</vt:lpstr>
      <vt:lpstr>Estimating Schedule - SRF</vt:lpstr>
      <vt:lpstr>Estimating Schedule - DSF</vt:lpstr>
      <vt:lpstr>Estimating Schedule - CPF</vt:lpstr>
      <vt:lpstr>Estimating Schedule - UF</vt:lpstr>
      <vt:lpstr>'Budget Ordinances'!_3</vt:lpstr>
      <vt:lpstr>' Budget message'!Print_Area</vt:lpstr>
      <vt:lpstr>' Table of contents'!Print_Area</vt:lpstr>
      <vt:lpstr>'Budget Ordinances'!Print_Area</vt:lpstr>
      <vt:lpstr>'Capital Outlay Budget Request'!Print_Area</vt:lpstr>
      <vt:lpstr>'Capital Projects Fund'!Print_Area</vt:lpstr>
      <vt:lpstr>'Consolidated Budget'!Print_Area</vt:lpstr>
      <vt:lpstr>'Debt Service Funds'!Print_Area</vt:lpstr>
      <vt:lpstr>'Estimating Schedule - CPF'!Print_Area</vt:lpstr>
      <vt:lpstr>'Estimating Schedule - DSF'!Print_Area</vt:lpstr>
      <vt:lpstr>'Estimating Schedule - GF'!Print_Area</vt:lpstr>
      <vt:lpstr>'Estimating Schedule - SRF'!Print_Area</vt:lpstr>
      <vt:lpstr>'Estimating Schedule - UF'!Print_Area</vt:lpstr>
      <vt:lpstr>'General Fund'!Print_Area</vt:lpstr>
      <vt:lpstr>'Sales Tax Funds'!Print_Area</vt:lpstr>
      <vt:lpstr>'Title Page'!Print_Area</vt:lpstr>
      <vt:lpstr>'Utility Fund'!Print_Area</vt:lpstr>
      <vt:lpstr>'Utility Fund - analysis by dept'!Print_Area</vt:lpstr>
    </vt:vector>
  </TitlesOfParts>
  <Company>Kolder,Champagne,Slaven&amp;Rainey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D. Perry</dc:creator>
  <cp:lastModifiedBy>Toria</cp:lastModifiedBy>
  <cp:lastPrinted>2020-09-22T18:15:19Z</cp:lastPrinted>
  <dcterms:created xsi:type="dcterms:W3CDTF">1998-07-02T16:11:10Z</dcterms:created>
  <dcterms:modified xsi:type="dcterms:W3CDTF">2020-09-22T19:58:23Z</dcterms:modified>
</cp:coreProperties>
</file>